
<file path=[Content_Types].xml><?xml version="1.0" encoding="utf-8"?>
<Types xmlns="http://schemas.openxmlformats.org/package/2006/content-types">
  <Default Extension="xml" ContentType="application/xml"/>
  <Default Extension="jpeg" ContentType="image/jpeg"/>
  <Default Extension="bin" ContentType="application/vnd.openxmlformats-officedocument.spreadsheetml.customProperty"/>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6722"/>
  <workbookPr autoCompressPictures="0"/>
  <bookViews>
    <workbookView xWindow="1940" yWindow="0" windowWidth="25040" windowHeight="15500" tabRatio="788"/>
  </bookViews>
  <sheets>
    <sheet name="Jan" sheetId="14" r:id="rId1"/>
    <sheet name="Feb" sheetId="19" r:id="rId2"/>
    <sheet name="Mar" sheetId="20" r:id="rId3"/>
    <sheet name="Apr" sheetId="22" r:id="rId4"/>
    <sheet name="May" sheetId="24" r:id="rId5"/>
    <sheet name="Jun" sheetId="25" r:id="rId6"/>
    <sheet name="Jul" sheetId="26" r:id="rId7"/>
    <sheet name="Aug" sheetId="32" r:id="rId8"/>
    <sheet name="Sep" sheetId="28" r:id="rId9"/>
    <sheet name="Oct" sheetId="29" r:id="rId10"/>
    <sheet name="Nov" sheetId="30" r:id="rId11"/>
    <sheet name="Dec" sheetId="31" r:id="rId12"/>
    <sheet name="Lookup List" sheetId="15" r:id="rId13"/>
  </sheets>
  <definedNames>
    <definedName name="AprSun1">DATE(CalendarYear,4,1)-WEEKDAY(DATE(CalendarYear,4,1))+1</definedName>
    <definedName name="AugSun1">DATE(CalendarYear,8,1)-WEEKDAY(DATE(CalendarYear,8,1))+1</definedName>
    <definedName name="CalendarYear">Jan!$K$1</definedName>
    <definedName name="DecSun1">DATE(CalendarYear,12,1)-WEEKDAY(DATE(CalendarYear,12,1))+1</definedName>
    <definedName name="FebSun1">DATE(CalendarYear,2,1)-WEEKDAY(DATE(CalendarYear,2,1))+1</definedName>
    <definedName name="JanSun1">DATE(CalendarYear,1,1)-WEEKDAY(DATE(CalendarYear,1,1))+1</definedName>
    <definedName name="JulSun1">DATE(CalendarYear,7,1)-WEEKDAY(DATE(CalendarYear,7,1))+1</definedName>
    <definedName name="JunSun1">DATE(CalendarYear,6,1)-WEEKDAY(DATE(CalendarYear,6,1))+1</definedName>
    <definedName name="MarSun1">DATE(CalendarYear,3,1)-WEEKDAY(DATE(CalendarYear,3,1))+1</definedName>
    <definedName name="MaySun1">DATE(CalendarYear,5,1)-WEEKDAY(DATE(CalendarYear,5,1))+1</definedName>
    <definedName name="NovSun1">DATE(CalendarYear,11,1)-WEEKDAY(DATE(CalendarYear,11,1))+1</definedName>
    <definedName name="OctSun1">DATE(CalendarYear,10,1)-WEEKDAY(DATE(CalendarYear,10,1))+1</definedName>
    <definedName name="_xlnm.Print_Area" localSheetId="0">Jan!$A$1:$H$14</definedName>
    <definedName name="SepSun1">DATE(CalendarYear,9,1)-WEEKDAY(DATE(CalendarYear,9,1))+1</definedName>
    <definedName name="Year">YearLookup[]</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7" i="25" l="1"/>
  <c r="C13" i="24"/>
  <c r="C13" i="32"/>
  <c r="B13" i="32"/>
  <c r="H11" i="32"/>
  <c r="G11" i="32"/>
  <c r="F11" i="32"/>
  <c r="E11" i="32"/>
  <c r="D11" i="32"/>
  <c r="C11" i="32"/>
  <c r="B11" i="32"/>
  <c r="H9" i="32"/>
  <c r="G9" i="32"/>
  <c r="F9" i="32"/>
  <c r="E9" i="32"/>
  <c r="D9" i="32"/>
  <c r="C9" i="32"/>
  <c r="B9" i="32"/>
  <c r="H7" i="32"/>
  <c r="G7" i="32"/>
  <c r="F7" i="32"/>
  <c r="E7" i="32"/>
  <c r="D7" i="32"/>
  <c r="C7" i="32"/>
  <c r="B7" i="32"/>
  <c r="H5" i="32"/>
  <c r="G5" i="32"/>
  <c r="F5" i="32"/>
  <c r="E5" i="32"/>
  <c r="D5" i="32"/>
  <c r="C5" i="32"/>
  <c r="B5" i="32"/>
  <c r="H3" i="32"/>
  <c r="G3" i="32"/>
  <c r="F3" i="32"/>
  <c r="E3" i="32"/>
  <c r="D3" i="32"/>
  <c r="C3" i="32"/>
  <c r="B3" i="32"/>
  <c r="B1" i="32"/>
  <c r="B1" i="28"/>
  <c r="C13" i="31"/>
  <c r="B13" i="31"/>
  <c r="H11" i="31"/>
  <c r="G11" i="31"/>
  <c r="F11" i="31"/>
  <c r="E11" i="31"/>
  <c r="D11" i="31"/>
  <c r="C11" i="31"/>
  <c r="B11" i="31"/>
  <c r="H9" i="31"/>
  <c r="G9" i="31"/>
  <c r="F9" i="31"/>
  <c r="E9" i="31"/>
  <c r="D9" i="31"/>
  <c r="C9" i="31"/>
  <c r="B9" i="31"/>
  <c r="H7" i="31"/>
  <c r="G7" i="31"/>
  <c r="F7" i="31"/>
  <c r="E7" i="31"/>
  <c r="D7" i="31"/>
  <c r="C7" i="31"/>
  <c r="B7" i="31"/>
  <c r="H5" i="31"/>
  <c r="G5" i="31"/>
  <c r="F5" i="31"/>
  <c r="E5" i="31"/>
  <c r="D5" i="31"/>
  <c r="C5" i="31"/>
  <c r="B5" i="31"/>
  <c r="H3" i="31"/>
  <c r="G3" i="31"/>
  <c r="F3" i="31"/>
  <c r="E3" i="31"/>
  <c r="D3" i="31"/>
  <c r="C3" i="31"/>
  <c r="B3" i="31"/>
  <c r="B1" i="31"/>
  <c r="B13" i="30"/>
  <c r="H11" i="30"/>
  <c r="G11" i="30"/>
  <c r="F11" i="30"/>
  <c r="E11" i="30"/>
  <c r="D11" i="30"/>
  <c r="C11" i="30"/>
  <c r="B11" i="30"/>
  <c r="H9" i="30"/>
  <c r="G9" i="30"/>
  <c r="F9" i="30"/>
  <c r="E9" i="30"/>
  <c r="D9" i="30"/>
  <c r="C9" i="30"/>
  <c r="B9" i="30"/>
  <c r="H7" i="30"/>
  <c r="G7" i="30"/>
  <c r="F7" i="30"/>
  <c r="E7" i="30"/>
  <c r="D7" i="30"/>
  <c r="C7" i="30"/>
  <c r="B7" i="30"/>
  <c r="H5" i="30"/>
  <c r="G5" i="30"/>
  <c r="F5" i="30"/>
  <c r="E5" i="30"/>
  <c r="D5" i="30"/>
  <c r="C5" i="30"/>
  <c r="B5" i="30"/>
  <c r="H3" i="30"/>
  <c r="G3" i="30"/>
  <c r="F3" i="30"/>
  <c r="E3" i="30"/>
  <c r="D3" i="30"/>
  <c r="C3" i="30"/>
  <c r="B3" i="30"/>
  <c r="B1" i="30"/>
  <c r="C13" i="29"/>
  <c r="B13" i="29"/>
  <c r="H11" i="29"/>
  <c r="G11" i="29"/>
  <c r="F11" i="29"/>
  <c r="E11" i="29"/>
  <c r="D11" i="29"/>
  <c r="C11" i="29"/>
  <c r="B11" i="29"/>
  <c r="H9" i="29"/>
  <c r="G9" i="29"/>
  <c r="F9" i="29"/>
  <c r="E9" i="29"/>
  <c r="D9" i="29"/>
  <c r="C9" i="29"/>
  <c r="B9" i="29"/>
  <c r="H7" i="29"/>
  <c r="G7" i="29"/>
  <c r="F7" i="29"/>
  <c r="E7" i="29"/>
  <c r="D7" i="29"/>
  <c r="C7" i="29"/>
  <c r="B7" i="29"/>
  <c r="H5" i="29"/>
  <c r="G5" i="29"/>
  <c r="F5" i="29"/>
  <c r="E5" i="29"/>
  <c r="D5" i="29"/>
  <c r="C5" i="29"/>
  <c r="B5" i="29"/>
  <c r="H3" i="29"/>
  <c r="G3" i="29"/>
  <c r="F3" i="29"/>
  <c r="E3" i="29"/>
  <c r="D3" i="29"/>
  <c r="C3" i="29"/>
  <c r="B3" i="29"/>
  <c r="B1" i="29"/>
  <c r="B13" i="28"/>
  <c r="H11" i="28"/>
  <c r="G11" i="28"/>
  <c r="F11" i="28"/>
  <c r="E11" i="28"/>
  <c r="D11" i="28"/>
  <c r="C11" i="28"/>
  <c r="B11" i="28"/>
  <c r="H9" i="28"/>
  <c r="G9" i="28"/>
  <c r="F9" i="28"/>
  <c r="E9" i="28"/>
  <c r="D9" i="28"/>
  <c r="C9" i="28"/>
  <c r="B9" i="28"/>
  <c r="H7" i="28"/>
  <c r="G7" i="28"/>
  <c r="F7" i="28"/>
  <c r="E7" i="28"/>
  <c r="D7" i="28"/>
  <c r="C7" i="28"/>
  <c r="B7" i="28"/>
  <c r="H5" i="28"/>
  <c r="G5" i="28"/>
  <c r="F5" i="28"/>
  <c r="E5" i="28"/>
  <c r="D5" i="28"/>
  <c r="C5" i="28"/>
  <c r="B5" i="28"/>
  <c r="H3" i="28"/>
  <c r="G3" i="28"/>
  <c r="F3" i="28"/>
  <c r="E3" i="28"/>
  <c r="D3" i="28"/>
  <c r="C3" i="28"/>
  <c r="B3" i="28"/>
  <c r="C13" i="26"/>
  <c r="B13" i="26"/>
  <c r="H11" i="26"/>
  <c r="G11" i="26"/>
  <c r="F11" i="26"/>
  <c r="E11" i="26"/>
  <c r="D11" i="26"/>
  <c r="C11" i="26"/>
  <c r="B11" i="26"/>
  <c r="H9" i="26"/>
  <c r="G9" i="26"/>
  <c r="F9" i="26"/>
  <c r="E9" i="26"/>
  <c r="D9" i="26"/>
  <c r="C9" i="26"/>
  <c r="B9" i="26"/>
  <c r="H7" i="26"/>
  <c r="G7" i="26"/>
  <c r="F7" i="26"/>
  <c r="E7" i="26"/>
  <c r="D7" i="26"/>
  <c r="C7" i="26"/>
  <c r="B7" i="26"/>
  <c r="H5" i="26"/>
  <c r="G5" i="26"/>
  <c r="F5" i="26"/>
  <c r="E5" i="26"/>
  <c r="D5" i="26"/>
  <c r="C5" i="26"/>
  <c r="B5" i="26"/>
  <c r="H3" i="26"/>
  <c r="G3" i="26"/>
  <c r="F3" i="26"/>
  <c r="E3" i="26"/>
  <c r="D3" i="26"/>
  <c r="C3" i="26"/>
  <c r="B3" i="26"/>
  <c r="B1" i="26"/>
  <c r="B13" i="25"/>
  <c r="H11" i="25"/>
  <c r="G11" i="25"/>
  <c r="F11" i="25"/>
  <c r="E11" i="25"/>
  <c r="D11" i="25"/>
  <c r="C11" i="25"/>
  <c r="B11" i="25"/>
  <c r="H9" i="25"/>
  <c r="G9" i="25"/>
  <c r="F9" i="25"/>
  <c r="E9" i="25"/>
  <c r="D9" i="25"/>
  <c r="C9" i="25"/>
  <c r="B9" i="25"/>
  <c r="H7" i="25"/>
  <c r="G7" i="25"/>
  <c r="F7" i="25"/>
  <c r="E7" i="25"/>
  <c r="D7" i="25"/>
  <c r="B7" i="25"/>
  <c r="H5" i="25"/>
  <c r="G5" i="25"/>
  <c r="F5" i="25"/>
  <c r="E5" i="25"/>
  <c r="D5" i="25"/>
  <c r="C5" i="25"/>
  <c r="B5" i="25"/>
  <c r="H3" i="25"/>
  <c r="G3" i="25"/>
  <c r="F3" i="25"/>
  <c r="E3" i="25"/>
  <c r="D3" i="25"/>
  <c r="C3" i="25"/>
  <c r="B3" i="25"/>
  <c r="B1" i="25"/>
  <c r="B13" i="24"/>
  <c r="H11" i="24"/>
  <c r="G11" i="24"/>
  <c r="F11" i="24"/>
  <c r="E11" i="24"/>
  <c r="D11" i="24"/>
  <c r="C11" i="24"/>
  <c r="B11" i="24"/>
  <c r="H9" i="24"/>
  <c r="G9" i="24"/>
  <c r="F9" i="24"/>
  <c r="E9" i="24"/>
  <c r="D9" i="24"/>
  <c r="C9" i="24"/>
  <c r="B9" i="24"/>
  <c r="H7" i="24"/>
  <c r="G7" i="24"/>
  <c r="F7" i="24"/>
  <c r="E7" i="24"/>
  <c r="D7" i="24"/>
  <c r="C7" i="24"/>
  <c r="B7" i="24"/>
  <c r="H5" i="24"/>
  <c r="G5" i="24"/>
  <c r="F5" i="24"/>
  <c r="E5" i="24"/>
  <c r="D5" i="24"/>
  <c r="C5" i="24"/>
  <c r="B5" i="24"/>
  <c r="H3" i="24"/>
  <c r="G3" i="24"/>
  <c r="F3" i="24"/>
  <c r="E3" i="24"/>
  <c r="D3" i="24"/>
  <c r="C3" i="24"/>
  <c r="B3" i="24"/>
  <c r="B1" i="24"/>
  <c r="B13" i="22"/>
  <c r="H11" i="22"/>
  <c r="G11" i="22"/>
  <c r="F11" i="22"/>
  <c r="E11" i="22"/>
  <c r="D11" i="22"/>
  <c r="C11" i="22"/>
  <c r="B11" i="22"/>
  <c r="H9" i="22"/>
  <c r="G9" i="22"/>
  <c r="F9" i="22"/>
  <c r="E9" i="22"/>
  <c r="D9" i="22"/>
  <c r="C9" i="22"/>
  <c r="B9" i="22"/>
  <c r="H7" i="22"/>
  <c r="G7" i="22"/>
  <c r="F7" i="22"/>
  <c r="E7" i="22"/>
  <c r="D7" i="22"/>
  <c r="C7" i="22"/>
  <c r="B7" i="22"/>
  <c r="H5" i="22"/>
  <c r="G5" i="22"/>
  <c r="F5" i="22"/>
  <c r="E5" i="22"/>
  <c r="D5" i="22"/>
  <c r="C5" i="22"/>
  <c r="B5" i="22"/>
  <c r="H3" i="22"/>
  <c r="G3" i="22"/>
  <c r="F3" i="22"/>
  <c r="E3" i="22"/>
  <c r="D3" i="22"/>
  <c r="C3" i="22"/>
  <c r="B3" i="22"/>
  <c r="B1" i="22"/>
  <c r="H11" i="19"/>
  <c r="G11" i="19"/>
  <c r="F11" i="19"/>
  <c r="E11" i="19"/>
  <c r="D11" i="19"/>
  <c r="C11" i="19"/>
  <c r="B11" i="19"/>
  <c r="H9" i="19"/>
  <c r="G9" i="19"/>
  <c r="F9" i="19"/>
  <c r="E9" i="19"/>
  <c r="D9" i="19"/>
  <c r="C9" i="19"/>
  <c r="B9" i="19"/>
  <c r="H7" i="19"/>
  <c r="G7" i="19"/>
  <c r="F7" i="19"/>
  <c r="E7" i="19"/>
  <c r="D7" i="19"/>
  <c r="C7" i="19"/>
  <c r="B7" i="19"/>
  <c r="H5" i="19"/>
  <c r="G5" i="19"/>
  <c r="F5" i="19"/>
  <c r="E5" i="19"/>
  <c r="D5" i="19"/>
  <c r="C5" i="19"/>
  <c r="B5" i="19"/>
  <c r="H3" i="19"/>
  <c r="G3" i="19"/>
  <c r="F3" i="19"/>
  <c r="E3" i="19"/>
  <c r="D3" i="19"/>
  <c r="C3" i="19"/>
  <c r="B3" i="19"/>
  <c r="C13" i="20"/>
  <c r="B13" i="20"/>
  <c r="H11" i="20"/>
  <c r="G11" i="20"/>
  <c r="F11" i="20"/>
  <c r="E11" i="20"/>
  <c r="D11" i="20"/>
  <c r="C11" i="20"/>
  <c r="B11" i="20"/>
  <c r="H9" i="20"/>
  <c r="G9" i="20"/>
  <c r="F9" i="20"/>
  <c r="E9" i="20"/>
  <c r="D9" i="20"/>
  <c r="C9" i="20"/>
  <c r="B9" i="20"/>
  <c r="H7" i="20"/>
  <c r="G7" i="20"/>
  <c r="F7" i="20"/>
  <c r="E7" i="20"/>
  <c r="D7" i="20"/>
  <c r="C7" i="20"/>
  <c r="B7" i="20"/>
  <c r="H5" i="20"/>
  <c r="G5" i="20"/>
  <c r="F5" i="20"/>
  <c r="E5" i="20"/>
  <c r="D5" i="20"/>
  <c r="C5" i="20"/>
  <c r="B5" i="20"/>
  <c r="H3" i="20"/>
  <c r="G3" i="20"/>
  <c r="F3" i="20"/>
  <c r="E3" i="20"/>
  <c r="D3" i="20"/>
  <c r="C3" i="20"/>
  <c r="B3" i="20"/>
  <c r="B1" i="20"/>
  <c r="B1" i="19"/>
  <c r="C13" i="14"/>
  <c r="B13" i="14"/>
  <c r="H11" i="14"/>
  <c r="G11" i="14"/>
  <c r="F11" i="14"/>
  <c r="E11" i="14"/>
  <c r="D11" i="14"/>
  <c r="C11" i="14"/>
  <c r="B11" i="14"/>
  <c r="H9" i="14"/>
  <c r="G9" i="14"/>
  <c r="F9" i="14"/>
  <c r="E9" i="14"/>
  <c r="D9" i="14"/>
  <c r="B9" i="14"/>
  <c r="C9" i="14"/>
  <c r="H7" i="14"/>
  <c r="G7" i="14"/>
  <c r="F7" i="14"/>
  <c r="E7" i="14"/>
  <c r="D7" i="14"/>
  <c r="C7" i="14"/>
  <c r="B7" i="14"/>
  <c r="H5" i="14"/>
  <c r="G5" i="14"/>
  <c r="F5" i="14"/>
  <c r="E5" i="14"/>
  <c r="D5" i="14"/>
  <c r="C5" i="14"/>
  <c r="B5" i="14"/>
  <c r="F3" i="14"/>
  <c r="B3" i="14"/>
  <c r="H3" i="14"/>
  <c r="G3" i="14"/>
  <c r="E3" i="14"/>
  <c r="D3" i="14"/>
  <c r="C3" i="14"/>
  <c r="B1" i="14"/>
</calcChain>
</file>

<file path=xl/comments1.xml><?xml version="1.0" encoding="utf-8"?>
<comments xmlns="http://schemas.openxmlformats.org/spreadsheetml/2006/main">
  <authors>
    <author xml:space="preserve">   </author>
  </authors>
  <commentList>
    <comment ref="C4" authorId="0">
      <text>
        <r>
          <rPr>
            <b/>
            <sz val="9"/>
            <color indexed="81"/>
            <rFont val="Geneva"/>
          </rPr>
          <t>This list populates the options that appear in the pop-up list for the year on the January sheet. To add additional years, begin typing in the cell directly beneath the last existing entry and the list will automatically expand.</t>
        </r>
      </text>
    </comment>
  </commentList>
</comments>
</file>

<file path=xl/sharedStrings.xml><?xml version="1.0" encoding="utf-8"?>
<sst xmlns="http://schemas.openxmlformats.org/spreadsheetml/2006/main" count="245" uniqueCount="86">
  <si>
    <t>Sunday</t>
  </si>
  <si>
    <t>Monday</t>
  </si>
  <si>
    <t>Tuesday</t>
  </si>
  <si>
    <t>Wednesday</t>
  </si>
  <si>
    <t>Thursday</t>
  </si>
  <si>
    <t>Friday</t>
  </si>
  <si>
    <t>Saturday</t>
  </si>
  <si>
    <t>Year</t>
  </si>
  <si>
    <t>Notes:</t>
  </si>
  <si>
    <t>Notes</t>
  </si>
  <si>
    <t>Select
Year:</t>
  </si>
  <si>
    <t>All interviews to take place two weeks previous to Sunday debut. All pieces to editor by previous Monday to create preview and full video. Editing should be complete EOD Thursday before Sunday debut. Preview should be shared Friday before Sunday debut. Full video should be shared via social media Sunday afternoon and included in following e-newsletter.</t>
  </si>
  <si>
    <t xml:space="preserve">All interviews to take place two weeks previous to Sunday debut. All pieces to editor by previous Monday to create preview and full video. Editing should be complete EOD Thursday before Sunday debut. Preview should be shared Friday before Sunday debut. Full video should be shared via social media Sunday afternoon and included in following e-newsletter.     </t>
  </si>
  <si>
    <t xml:space="preserve">All interviews to take place two weeks previous to Sunday debut. All pieces to editor by previous Monday to create preview and full video. Editing should be complete EOD Thursday before Sunday debut. Preview should be shared Friday before Sunday debut. Full video should be shared via social media Sunday afternoon and included in following Wednesday e-newsletter.     </t>
  </si>
  <si>
    <r>
      <rPr>
        <b/>
        <sz val="10"/>
        <color theme="1" tint="0.249977111117893"/>
        <rFont val="Century Gothic"/>
        <scheme val="minor"/>
      </rPr>
      <t>Editor</t>
    </r>
    <r>
      <rPr>
        <sz val="10"/>
        <color theme="1" tint="0.249977111117893"/>
        <rFont val="Century Gothic"/>
        <family val="2"/>
        <scheme val="minor"/>
      </rPr>
      <t xml:space="preserve"> working on Hamilton Trace; </t>
    </r>
    <r>
      <rPr>
        <b/>
        <sz val="10"/>
        <color theme="1" tint="0.249977111117893"/>
        <rFont val="Century Gothic"/>
        <scheme val="minor"/>
      </rPr>
      <t>Videographer</t>
    </r>
    <r>
      <rPr>
        <sz val="10"/>
        <color theme="1" tint="0.249977111117893"/>
        <rFont val="Century Gothic"/>
        <family val="2"/>
        <scheme val="minor"/>
      </rPr>
      <t xml:space="preserve"> interviewing ushers volunteer</t>
    </r>
  </si>
  <si>
    <r>
      <rPr>
        <b/>
        <sz val="10"/>
        <color theme="1" tint="0.249977111117893"/>
        <rFont val="Century Gothic"/>
        <scheme val="minor"/>
      </rPr>
      <t>Editor</t>
    </r>
    <r>
      <rPr>
        <sz val="10"/>
        <color theme="1" tint="0.249977111117893"/>
        <rFont val="Century Gothic"/>
        <family val="2"/>
        <scheme val="minor"/>
      </rPr>
      <t xml:space="preserve"> working on ushers; </t>
    </r>
    <r>
      <rPr>
        <b/>
        <sz val="10"/>
        <color theme="1" tint="0.249977111117893"/>
        <rFont val="Century Gothic"/>
        <scheme val="minor"/>
      </rPr>
      <t>Videographer</t>
    </r>
    <r>
      <rPr>
        <sz val="10"/>
        <color theme="1" tint="0.249977111117893"/>
        <rFont val="Century Gothic"/>
        <family val="2"/>
        <scheme val="minor"/>
      </rPr>
      <t xml:space="preserve"> interviewing prayer ministries volunteer</t>
    </r>
  </si>
  <si>
    <r>
      <rPr>
        <b/>
        <sz val="10"/>
        <color theme="1" tint="0.249977111117893"/>
        <rFont val="Century Gothic"/>
        <scheme val="minor"/>
      </rPr>
      <t>Editor</t>
    </r>
    <r>
      <rPr>
        <sz val="10"/>
        <color theme="1" tint="0.249977111117893"/>
        <rFont val="Century Gothic"/>
        <family val="2"/>
        <scheme val="minor"/>
      </rPr>
      <t xml:space="preserve"> working on prayer ministries; </t>
    </r>
    <r>
      <rPr>
        <b/>
        <sz val="10"/>
        <color theme="1" tint="0.249977111117893"/>
        <rFont val="Century Gothic"/>
        <scheme val="minor"/>
      </rPr>
      <t>Videographer</t>
    </r>
    <r>
      <rPr>
        <sz val="10"/>
        <color theme="1" tint="0.249977111117893"/>
        <rFont val="Century Gothic"/>
        <family val="2"/>
        <scheme val="minor"/>
      </rPr>
      <t xml:space="preserve"> interviewing SM winter retreat volunteer</t>
    </r>
  </si>
  <si>
    <r>
      <rPr>
        <b/>
        <sz val="10"/>
        <color theme="1" tint="0.249977111117893"/>
        <rFont val="Century Gothic"/>
        <scheme val="minor"/>
      </rPr>
      <t>Editor</t>
    </r>
    <r>
      <rPr>
        <sz val="10"/>
        <color theme="1" tint="0.249977111117893"/>
        <rFont val="Century Gothic"/>
        <family val="2"/>
        <scheme val="minor"/>
      </rPr>
      <t xml:space="preserve"> working on SM winter retreat; </t>
    </r>
    <r>
      <rPr>
        <b/>
        <sz val="10"/>
        <color theme="1" tint="0.249977111117893"/>
        <rFont val="Century Gothic"/>
        <scheme val="minor"/>
      </rPr>
      <t>Videographer</t>
    </r>
    <r>
      <rPr>
        <sz val="10"/>
        <color theme="1" tint="0.249977111117893"/>
        <rFont val="Century Gothic"/>
        <family val="2"/>
        <scheme val="minor"/>
      </rPr>
      <t xml:space="preserve"> interviewing choir volunteer</t>
    </r>
  </si>
  <si>
    <r>
      <rPr>
        <b/>
        <sz val="10"/>
        <color theme="1" tint="0.249977111117893"/>
        <rFont val="Century Gothic"/>
        <scheme val="minor"/>
      </rPr>
      <t>Editor</t>
    </r>
    <r>
      <rPr>
        <sz val="10"/>
        <color theme="1" tint="0.249977111117893"/>
        <rFont val="Century Gothic"/>
        <family val="2"/>
        <scheme val="minor"/>
      </rPr>
      <t xml:space="preserve"> working on choir; </t>
    </r>
    <r>
      <rPr>
        <b/>
        <sz val="10"/>
        <color theme="1" tint="0.249977111117893"/>
        <rFont val="Century Gothic"/>
        <scheme val="minor"/>
      </rPr>
      <t>Videographer</t>
    </r>
    <r>
      <rPr>
        <sz val="10"/>
        <color theme="1" tint="0.249977111117893"/>
        <rFont val="Century Gothic"/>
        <family val="2"/>
        <scheme val="minor"/>
      </rPr>
      <t xml:space="preserve"> interviewing UMM volunteer</t>
    </r>
  </si>
  <si>
    <r>
      <rPr>
        <b/>
        <sz val="10"/>
        <color theme="1" tint="0.249977111117893"/>
        <rFont val="Century Gothic"/>
        <scheme val="minor"/>
      </rPr>
      <t>Editor</t>
    </r>
    <r>
      <rPr>
        <sz val="10"/>
        <color theme="1" tint="0.249977111117893"/>
        <rFont val="Century Gothic"/>
        <family val="2"/>
        <scheme val="minor"/>
      </rPr>
      <t xml:space="preserve"> working on UMM </t>
    </r>
    <r>
      <rPr>
        <b/>
        <sz val="10"/>
        <color theme="1" tint="0.249977111117893"/>
        <rFont val="Century Gothic"/>
        <scheme val="minor"/>
      </rPr>
      <t>Videographer</t>
    </r>
    <r>
      <rPr>
        <sz val="10"/>
        <color theme="1" tint="0.249977111117893"/>
        <rFont val="Century Gothic"/>
        <family val="2"/>
        <scheme val="minor"/>
      </rPr>
      <t xml:space="preserve"> interviewing Interfaith HN volunteer</t>
    </r>
  </si>
  <si>
    <r>
      <rPr>
        <b/>
        <sz val="10"/>
        <color theme="1" tint="0.249977111117893"/>
        <rFont val="Century Gothic"/>
        <scheme val="minor"/>
      </rPr>
      <t>Editor</t>
    </r>
    <r>
      <rPr>
        <sz val="10"/>
        <color theme="1" tint="0.249977111117893"/>
        <rFont val="Century Gothic"/>
        <family val="2"/>
        <scheme val="minor"/>
      </rPr>
      <t xml:space="preserve"> working on Interfaith HN; </t>
    </r>
    <r>
      <rPr>
        <b/>
        <sz val="10"/>
        <color theme="1" tint="0.249977111117893"/>
        <rFont val="Century Gothic"/>
        <scheme val="minor"/>
      </rPr>
      <t>Videographer</t>
    </r>
    <r>
      <rPr>
        <sz val="10"/>
        <color theme="1" tint="0.249977111117893"/>
        <rFont val="Century Gothic"/>
        <family val="2"/>
        <scheme val="minor"/>
      </rPr>
      <t xml:space="preserve"> interviewing food pantry volunteer</t>
    </r>
  </si>
  <si>
    <r>
      <rPr>
        <b/>
        <sz val="10"/>
        <color theme="1" tint="0.249977111117893"/>
        <rFont val="Century Gothic"/>
        <scheme val="minor"/>
      </rPr>
      <t>Editor</t>
    </r>
    <r>
      <rPr>
        <sz val="10"/>
        <color theme="1" tint="0.249977111117893"/>
        <rFont val="Century Gothic"/>
        <family val="2"/>
        <scheme val="minor"/>
      </rPr>
      <t xml:space="preserve"> working on food pantry; </t>
    </r>
    <r>
      <rPr>
        <b/>
        <sz val="10"/>
        <color theme="1" tint="0.249977111117893"/>
        <rFont val="Century Gothic"/>
        <scheme val="minor"/>
      </rPr>
      <t>Videographer</t>
    </r>
    <r>
      <rPr>
        <sz val="10"/>
        <color theme="1" tint="0.249977111117893"/>
        <rFont val="Century Gothic"/>
        <family val="2"/>
        <scheme val="minor"/>
      </rPr>
      <t xml:space="preserve"> interviewing SrHi 30 Hr famine volunteer</t>
    </r>
  </si>
  <si>
    <r>
      <rPr>
        <b/>
        <sz val="10"/>
        <color theme="1" tint="0.249977111117893"/>
        <rFont val="Century Gothic"/>
        <scheme val="minor"/>
      </rPr>
      <t>Editor</t>
    </r>
    <r>
      <rPr>
        <sz val="10"/>
        <color theme="1" tint="0.249977111117893"/>
        <rFont val="Century Gothic"/>
        <family val="2"/>
        <scheme val="minor"/>
      </rPr>
      <t xml:space="preserve"> working on SrHi 30 Hr famine; </t>
    </r>
    <r>
      <rPr>
        <b/>
        <sz val="10"/>
        <color theme="1" tint="0.249977111117893"/>
        <rFont val="Century Gothic"/>
        <scheme val="minor"/>
      </rPr>
      <t>Videographer</t>
    </r>
    <r>
      <rPr>
        <sz val="10"/>
        <color theme="1" tint="0.249977111117893"/>
        <rFont val="Century Gothic"/>
        <family val="2"/>
        <scheme val="minor"/>
      </rPr>
      <t xml:space="preserve"> interviewing special music volunteer</t>
    </r>
  </si>
  <si>
    <r>
      <rPr>
        <b/>
        <sz val="10"/>
        <color theme="1" tint="0.249977111117893"/>
        <rFont val="Century Gothic"/>
        <scheme val="minor"/>
      </rPr>
      <t>Editor</t>
    </r>
    <r>
      <rPr>
        <sz val="10"/>
        <color theme="1" tint="0.249977111117893"/>
        <rFont val="Century Gothic"/>
        <family val="2"/>
        <scheme val="minor"/>
      </rPr>
      <t xml:space="preserve"> working on special music; </t>
    </r>
    <r>
      <rPr>
        <b/>
        <sz val="10"/>
        <color theme="1" tint="0.249977111117893"/>
        <rFont val="Century Gothic"/>
        <scheme val="minor"/>
      </rPr>
      <t>Videographer</t>
    </r>
    <r>
      <rPr>
        <sz val="10"/>
        <color theme="1" tint="0.249977111117893"/>
        <rFont val="Century Gothic"/>
        <family val="2"/>
        <scheme val="minor"/>
      </rPr>
      <t xml:space="preserve"> interviewing support group volunteer</t>
    </r>
  </si>
  <si>
    <r>
      <rPr>
        <b/>
        <sz val="10"/>
        <color theme="1" tint="0.249977111117893"/>
        <rFont val="Century Gothic"/>
        <scheme val="minor"/>
      </rPr>
      <t>Editor</t>
    </r>
    <r>
      <rPr>
        <sz val="10"/>
        <color theme="1" tint="0.249977111117893"/>
        <rFont val="Century Gothic"/>
        <family val="2"/>
        <scheme val="minor"/>
      </rPr>
      <t xml:space="preserve"> working on support group; </t>
    </r>
    <r>
      <rPr>
        <b/>
        <sz val="10"/>
        <color theme="1" tint="0.249977111117893"/>
        <rFont val="Century Gothic"/>
        <scheme val="minor"/>
      </rPr>
      <t>Videographer</t>
    </r>
    <r>
      <rPr>
        <sz val="10"/>
        <color theme="1" tint="0.249977111117893"/>
        <rFont val="Century Gothic"/>
        <family val="2"/>
        <scheme val="minor"/>
      </rPr>
      <t xml:space="preserve"> interviewing Easter Egg Hunt  volunteer</t>
    </r>
  </si>
  <si>
    <r>
      <rPr>
        <b/>
        <sz val="10"/>
        <color theme="1" tint="0.249977111117893"/>
        <rFont val="Century Gothic"/>
        <scheme val="minor"/>
      </rPr>
      <t>Editor</t>
    </r>
    <r>
      <rPr>
        <sz val="10"/>
        <color theme="1" tint="0.249977111117893"/>
        <rFont val="Century Gothic"/>
        <family val="2"/>
        <scheme val="minor"/>
      </rPr>
      <t xml:space="preserve"> working on Easter Egg Hunt; </t>
    </r>
    <r>
      <rPr>
        <b/>
        <sz val="10"/>
        <color theme="1" tint="0.249977111117893"/>
        <rFont val="Century Gothic"/>
        <scheme val="minor"/>
      </rPr>
      <t>Videographer</t>
    </r>
    <r>
      <rPr>
        <sz val="10"/>
        <color theme="1" tint="0.249977111117893"/>
        <rFont val="Century Gothic"/>
        <family val="2"/>
        <scheme val="minor"/>
      </rPr>
      <t xml:space="preserve"> interviewing Campus Life volunteer</t>
    </r>
  </si>
  <si>
    <r>
      <rPr>
        <b/>
        <sz val="10"/>
        <color theme="1" tint="0.249977111117893"/>
        <rFont val="Century Gothic"/>
        <scheme val="minor"/>
      </rPr>
      <t>Editor</t>
    </r>
    <r>
      <rPr>
        <sz val="10"/>
        <color theme="1" tint="0.249977111117893"/>
        <rFont val="Century Gothic"/>
        <family val="2"/>
        <scheme val="minor"/>
      </rPr>
      <t xml:space="preserve"> working on Campus Life; </t>
    </r>
    <r>
      <rPr>
        <b/>
        <sz val="10"/>
        <color theme="1" tint="0.249977111117893"/>
        <rFont val="Century Gothic"/>
        <scheme val="minor"/>
      </rPr>
      <t>Videographer</t>
    </r>
    <r>
      <rPr>
        <sz val="10"/>
        <color theme="1" tint="0.249977111117893"/>
        <rFont val="Century Gothic"/>
        <family val="2"/>
        <scheme val="minor"/>
      </rPr>
      <t xml:space="preserve"> interviewing clothes closet volunteer</t>
    </r>
  </si>
  <si>
    <r>
      <rPr>
        <b/>
        <sz val="10"/>
        <color theme="1" tint="0.249977111117893"/>
        <rFont val="Century Gothic"/>
        <scheme val="minor"/>
      </rPr>
      <t>Editor</t>
    </r>
    <r>
      <rPr>
        <sz val="10"/>
        <color theme="1" tint="0.249977111117893"/>
        <rFont val="Century Gothic"/>
        <family val="2"/>
        <scheme val="minor"/>
      </rPr>
      <t xml:space="preserve"> working on clothes closet; </t>
    </r>
    <r>
      <rPr>
        <b/>
        <sz val="10"/>
        <color theme="1" tint="0.249977111117893"/>
        <rFont val="Century Gothic"/>
        <scheme val="minor"/>
      </rPr>
      <t>Videographer</t>
    </r>
    <r>
      <rPr>
        <sz val="10"/>
        <color theme="1" tint="0.249977111117893"/>
        <rFont val="Century Gothic"/>
        <family val="2"/>
        <scheme val="minor"/>
      </rPr>
      <t xml:space="preserve"> interviewing Community Service Days volunteer</t>
    </r>
  </si>
  <si>
    <r>
      <rPr>
        <b/>
        <sz val="10"/>
        <color theme="1" tint="0.249977111117893"/>
        <rFont val="Century Gothic"/>
        <scheme val="minor"/>
      </rPr>
      <t>Editor</t>
    </r>
    <r>
      <rPr>
        <sz val="10"/>
        <color theme="1" tint="0.249977111117893"/>
        <rFont val="Century Gothic"/>
        <family val="2"/>
        <scheme val="minor"/>
      </rPr>
      <t xml:space="preserve"> working on Community Service Days; </t>
    </r>
    <r>
      <rPr>
        <b/>
        <sz val="10"/>
        <color theme="1" tint="0.249977111117893"/>
        <rFont val="Century Gothic"/>
        <scheme val="minor"/>
      </rPr>
      <t>Videographer</t>
    </r>
    <r>
      <rPr>
        <sz val="10"/>
        <color theme="1" tint="0.249977111117893"/>
        <rFont val="Century Gothic"/>
        <family val="2"/>
        <scheme val="minor"/>
      </rPr>
      <t xml:space="preserve"> interviewing confirmation volunteer</t>
    </r>
  </si>
  <si>
    <r>
      <rPr>
        <b/>
        <sz val="10"/>
        <color theme="1" tint="0.249977111117893"/>
        <rFont val="Century Gothic"/>
        <scheme val="minor"/>
      </rPr>
      <t>Editor</t>
    </r>
    <r>
      <rPr>
        <sz val="10"/>
        <color theme="1" tint="0.249977111117893"/>
        <rFont val="Century Gothic"/>
        <family val="2"/>
        <scheme val="minor"/>
      </rPr>
      <t xml:space="preserve"> working on confirmation; </t>
    </r>
    <r>
      <rPr>
        <b/>
        <sz val="10"/>
        <color theme="1" tint="0.249977111117893"/>
        <rFont val="Century Gothic"/>
        <scheme val="minor"/>
      </rPr>
      <t>Videographer</t>
    </r>
    <r>
      <rPr>
        <sz val="10"/>
        <color theme="1" tint="0.249977111117893"/>
        <rFont val="Century Gothic"/>
        <family val="2"/>
        <scheme val="minor"/>
      </rPr>
      <t xml:space="preserve"> interviewing faith/promise projects volunteer</t>
    </r>
  </si>
  <si>
    <r>
      <rPr>
        <b/>
        <sz val="10"/>
        <color theme="1" tint="0.249977111117893"/>
        <rFont val="Century Gothic"/>
        <scheme val="minor"/>
      </rPr>
      <t>Editor</t>
    </r>
    <r>
      <rPr>
        <sz val="10"/>
        <color theme="1" tint="0.249977111117893"/>
        <rFont val="Century Gothic"/>
        <family val="2"/>
        <scheme val="minor"/>
      </rPr>
      <t xml:space="preserve"> working on faith/promise projects; </t>
    </r>
    <r>
      <rPr>
        <b/>
        <sz val="10"/>
        <color theme="1" tint="0.249977111117893"/>
        <rFont val="Century Gothic"/>
        <scheme val="minor"/>
      </rPr>
      <t>Videographer</t>
    </r>
    <r>
      <rPr>
        <sz val="10"/>
        <color theme="1" tint="0.249977111117893"/>
        <rFont val="Century Gothic"/>
        <family val="2"/>
        <scheme val="minor"/>
      </rPr>
      <t xml:space="preserve"> interviewing Believe Conference volunteer</t>
    </r>
  </si>
  <si>
    <r>
      <rPr>
        <b/>
        <sz val="10"/>
        <color theme="1" tint="0.249977111117893"/>
        <rFont val="Century Gothic"/>
        <scheme val="minor"/>
      </rPr>
      <t>Editor</t>
    </r>
    <r>
      <rPr>
        <sz val="10"/>
        <color theme="1" tint="0.249977111117893"/>
        <rFont val="Century Gothic"/>
        <family val="2"/>
        <scheme val="minor"/>
      </rPr>
      <t xml:space="preserve"> working on Believe Conference; </t>
    </r>
    <r>
      <rPr>
        <b/>
        <sz val="10"/>
        <color theme="1" tint="0.249977111117893"/>
        <rFont val="Century Gothic"/>
        <scheme val="minor"/>
      </rPr>
      <t>Videographer</t>
    </r>
    <r>
      <rPr>
        <sz val="10"/>
        <color theme="1" tint="0.249977111117893"/>
        <rFont val="Century Gothic"/>
        <family val="2"/>
        <scheme val="minor"/>
      </rPr>
      <t xml:space="preserve"> interviewing VBS volunteer</t>
    </r>
  </si>
  <si>
    <r>
      <rPr>
        <b/>
        <sz val="10"/>
        <color theme="1" tint="0.249977111117893"/>
        <rFont val="Century Gothic"/>
        <scheme val="minor"/>
      </rPr>
      <t>Editor</t>
    </r>
    <r>
      <rPr>
        <sz val="10"/>
        <color theme="1" tint="0.249977111117893"/>
        <rFont val="Century Gothic"/>
        <family val="2"/>
        <scheme val="minor"/>
      </rPr>
      <t xml:space="preserve"> working on VBS; </t>
    </r>
    <r>
      <rPr>
        <b/>
        <sz val="10"/>
        <color theme="1" tint="0.249977111117893"/>
        <rFont val="Century Gothic"/>
        <scheme val="minor"/>
      </rPr>
      <t>Videographer</t>
    </r>
    <r>
      <rPr>
        <sz val="10"/>
        <color theme="1" tint="0.249977111117893"/>
        <rFont val="Century Gothic"/>
        <family val="2"/>
        <scheme val="minor"/>
      </rPr>
      <t xml:space="preserve"> interviewing summer day camps volunteer</t>
    </r>
  </si>
  <si>
    <r>
      <rPr>
        <b/>
        <sz val="10"/>
        <color theme="1" tint="0.249977111117893"/>
        <rFont val="Century Gothic"/>
        <scheme val="minor"/>
      </rPr>
      <t>Editor</t>
    </r>
    <r>
      <rPr>
        <sz val="10"/>
        <color theme="1" tint="0.249977111117893"/>
        <rFont val="Century Gothic"/>
        <family val="2"/>
        <scheme val="minor"/>
      </rPr>
      <t xml:space="preserve"> working on summer day camps; </t>
    </r>
    <r>
      <rPr>
        <b/>
        <sz val="10"/>
        <color theme="1" tint="0.249977111117893"/>
        <rFont val="Century Gothic"/>
        <scheme val="minor"/>
      </rPr>
      <t>Videographer</t>
    </r>
    <r>
      <rPr>
        <sz val="10"/>
        <color theme="1" tint="0.249977111117893"/>
        <rFont val="Century Gothic"/>
        <family val="2"/>
        <scheme val="minor"/>
      </rPr>
      <t xml:space="preserve"> interviewing Fun Fridays volunteer</t>
    </r>
  </si>
  <si>
    <r>
      <rPr>
        <b/>
        <sz val="10"/>
        <color theme="1" tint="0.249977111117893"/>
        <rFont val="Century Gothic"/>
        <scheme val="minor"/>
      </rPr>
      <t>Editor</t>
    </r>
    <r>
      <rPr>
        <sz val="10"/>
        <color theme="1" tint="0.249977111117893"/>
        <rFont val="Century Gothic"/>
        <family val="2"/>
        <scheme val="minor"/>
      </rPr>
      <t xml:space="preserve"> working on Fun Fridays; </t>
    </r>
    <r>
      <rPr>
        <b/>
        <sz val="10"/>
        <color theme="1" tint="0.249977111117893"/>
        <rFont val="Century Gothic"/>
        <scheme val="minor"/>
      </rPr>
      <t>Videographer</t>
    </r>
    <r>
      <rPr>
        <sz val="10"/>
        <color theme="1" tint="0.249977111117893"/>
        <rFont val="Century Gothic"/>
        <family val="2"/>
        <scheme val="minor"/>
      </rPr>
      <t xml:space="preserve"> interviewing community recreation volunteer</t>
    </r>
  </si>
  <si>
    <r>
      <rPr>
        <b/>
        <sz val="10"/>
        <color theme="1" tint="0.249977111117893"/>
        <rFont val="Century Gothic"/>
        <scheme val="minor"/>
      </rPr>
      <t>Editor</t>
    </r>
    <r>
      <rPr>
        <sz val="10"/>
        <color theme="1" tint="0.249977111117893"/>
        <rFont val="Century Gothic"/>
        <family val="2"/>
        <scheme val="minor"/>
      </rPr>
      <t xml:space="preserve"> working on community recreation; </t>
    </r>
    <r>
      <rPr>
        <b/>
        <sz val="10"/>
        <color theme="1" tint="0.249977111117893"/>
        <rFont val="Century Gothic"/>
        <scheme val="minor"/>
      </rPr>
      <t>Videographer</t>
    </r>
    <r>
      <rPr>
        <sz val="10"/>
        <color theme="1" tint="0.249977111117893"/>
        <rFont val="Century Gothic"/>
        <family val="2"/>
        <scheme val="minor"/>
      </rPr>
      <t xml:space="preserve"> interviewing Freedom festival/popcorn/fireworks volunteer</t>
    </r>
  </si>
  <si>
    <r>
      <rPr>
        <b/>
        <sz val="10"/>
        <color theme="1" tint="0.249977111117893"/>
        <rFont val="Century Gothic"/>
        <scheme val="minor"/>
      </rPr>
      <t>Editor</t>
    </r>
    <r>
      <rPr>
        <sz val="10"/>
        <color theme="1" tint="0.249977111117893"/>
        <rFont val="Century Gothic"/>
        <family val="2"/>
        <scheme val="minor"/>
      </rPr>
      <t xml:space="preserve"> working on Freedom festival/popcorn/fireworks; </t>
    </r>
    <r>
      <rPr>
        <b/>
        <sz val="10"/>
        <color theme="1" tint="0.249977111117893"/>
        <rFont val="Century Gothic"/>
        <scheme val="minor"/>
      </rPr>
      <t>Videographer</t>
    </r>
    <r>
      <rPr>
        <sz val="10"/>
        <color theme="1" tint="0.249977111117893"/>
        <rFont val="Century Gothic"/>
        <family val="2"/>
        <scheme val="minor"/>
      </rPr>
      <t xml:space="preserve"> interviewing 4H volunteer</t>
    </r>
  </si>
  <si>
    <r>
      <rPr>
        <b/>
        <sz val="10"/>
        <color theme="1" tint="0.249977111117893"/>
        <rFont val="Century Gothic"/>
        <scheme val="minor"/>
      </rPr>
      <t>Editor</t>
    </r>
    <r>
      <rPr>
        <sz val="10"/>
        <color theme="1" tint="0.249977111117893"/>
        <rFont val="Century Gothic"/>
        <family val="2"/>
        <scheme val="minor"/>
      </rPr>
      <t xml:space="preserve"> working on 4H; </t>
    </r>
    <r>
      <rPr>
        <b/>
        <sz val="10"/>
        <color theme="1" tint="0.249977111117893"/>
        <rFont val="Century Gothic"/>
        <scheme val="minor"/>
      </rPr>
      <t>Videographer</t>
    </r>
    <r>
      <rPr>
        <sz val="10"/>
        <color theme="1" tint="0.249977111117893"/>
        <rFont val="Century Gothic"/>
        <family val="2"/>
        <scheme val="minor"/>
      </rPr>
      <t xml:space="preserve"> interviewing mission trips volunteer</t>
    </r>
  </si>
  <si>
    <r>
      <rPr>
        <b/>
        <sz val="10"/>
        <color theme="1" tint="0.249977111117893"/>
        <rFont val="Century Gothic"/>
        <scheme val="minor"/>
      </rPr>
      <t>Editor</t>
    </r>
    <r>
      <rPr>
        <sz val="10"/>
        <color theme="1" tint="0.249977111117893"/>
        <rFont val="Century Gothic"/>
        <family val="2"/>
        <scheme val="minor"/>
      </rPr>
      <t xml:space="preserve"> working on mission trips; </t>
    </r>
    <r>
      <rPr>
        <b/>
        <sz val="10"/>
        <color theme="1" tint="0.249977111117893"/>
        <rFont val="Century Gothic"/>
        <scheme val="minor"/>
      </rPr>
      <t>Videographer</t>
    </r>
    <r>
      <rPr>
        <sz val="10"/>
        <color theme="1" tint="0.249977111117893"/>
        <rFont val="Century Gothic"/>
        <family val="2"/>
        <scheme val="minor"/>
      </rPr>
      <t xml:space="preserve"> interviewing Kairos volunteer</t>
    </r>
  </si>
  <si>
    <r>
      <rPr>
        <b/>
        <sz val="10"/>
        <color theme="1" tint="0.249977111117893"/>
        <rFont val="Century Gothic"/>
        <scheme val="minor"/>
      </rPr>
      <t>Editor</t>
    </r>
    <r>
      <rPr>
        <sz val="10"/>
        <color theme="1" tint="0.249977111117893"/>
        <rFont val="Century Gothic"/>
        <family val="2"/>
        <scheme val="minor"/>
      </rPr>
      <t xml:space="preserve"> working on Kairos; </t>
    </r>
    <r>
      <rPr>
        <b/>
        <sz val="10"/>
        <color theme="1" tint="0.249977111117893"/>
        <rFont val="Century Gothic"/>
        <scheme val="minor"/>
      </rPr>
      <t>Videographer</t>
    </r>
    <r>
      <rPr>
        <sz val="10"/>
        <color theme="1" tint="0.249977111117893"/>
        <rFont val="Century Gothic"/>
        <family val="2"/>
        <scheme val="minor"/>
      </rPr>
      <t xml:space="preserve"> interviewing Jazzercize/body recall volunteer</t>
    </r>
  </si>
  <si>
    <r>
      <rPr>
        <b/>
        <sz val="10"/>
        <color theme="1" tint="0.249977111117893"/>
        <rFont val="Century Gothic"/>
        <scheme val="minor"/>
      </rPr>
      <t>Editor</t>
    </r>
    <r>
      <rPr>
        <sz val="10"/>
        <color theme="1" tint="0.249977111117893"/>
        <rFont val="Century Gothic"/>
        <family val="2"/>
        <scheme val="minor"/>
      </rPr>
      <t xml:space="preserve"> working on  Jazzercize/body recall; </t>
    </r>
    <r>
      <rPr>
        <b/>
        <sz val="10"/>
        <color theme="1" tint="0.249977111117893"/>
        <rFont val="Century Gothic"/>
        <scheme val="minor"/>
      </rPr>
      <t>Videographer</t>
    </r>
    <r>
      <rPr>
        <sz val="10"/>
        <color theme="1" tint="0.249977111117893"/>
        <rFont val="Century Gothic"/>
        <family val="2"/>
        <scheme val="minor"/>
      </rPr>
      <t xml:space="preserve"> interviewing pastoral care ministries volunteer</t>
    </r>
  </si>
  <si>
    <r>
      <rPr>
        <b/>
        <sz val="10"/>
        <color theme="1" tint="0.249977111117893"/>
        <rFont val="Century Gothic"/>
        <scheme val="minor"/>
      </rPr>
      <t>Editor</t>
    </r>
    <r>
      <rPr>
        <sz val="10"/>
        <color theme="1" tint="0.249977111117893"/>
        <rFont val="Century Gothic"/>
        <family val="2"/>
        <scheme val="minor"/>
      </rPr>
      <t xml:space="preserve"> working on pastoral care ministries; </t>
    </r>
    <r>
      <rPr>
        <b/>
        <sz val="10"/>
        <color theme="1" tint="0.249977111117893"/>
        <rFont val="Century Gothic"/>
        <scheme val="minor"/>
      </rPr>
      <t>Videographer</t>
    </r>
    <r>
      <rPr>
        <sz val="10"/>
        <color theme="1" tint="0.249977111117893"/>
        <rFont val="Century Gothic"/>
        <family val="2"/>
        <scheme val="minor"/>
      </rPr>
      <t xml:space="preserve"> interviewing adult Bible study groups volunteer</t>
    </r>
  </si>
  <si>
    <r>
      <rPr>
        <b/>
        <sz val="10"/>
        <color theme="1" tint="0.249977111117893"/>
        <rFont val="Century Gothic"/>
        <scheme val="minor"/>
      </rPr>
      <t>Editor</t>
    </r>
    <r>
      <rPr>
        <sz val="10"/>
        <color theme="1" tint="0.249977111117893"/>
        <rFont val="Century Gothic"/>
        <family val="2"/>
        <scheme val="minor"/>
      </rPr>
      <t xml:space="preserve"> working on adult Bible study groups; </t>
    </r>
    <r>
      <rPr>
        <b/>
        <sz val="10"/>
        <color theme="1" tint="0.249977111117893"/>
        <rFont val="Century Gothic"/>
        <scheme val="minor"/>
      </rPr>
      <t>Videographer</t>
    </r>
    <r>
      <rPr>
        <sz val="10"/>
        <color theme="1" tint="0.249977111117893"/>
        <rFont val="Century Gothic"/>
        <family val="2"/>
        <scheme val="minor"/>
      </rPr>
      <t xml:space="preserve"> interviewing group book study participant</t>
    </r>
  </si>
  <si>
    <r>
      <rPr>
        <b/>
        <sz val="10"/>
        <color theme="1" tint="0.249977111117893"/>
        <rFont val="Century Gothic"/>
        <scheme val="minor"/>
      </rPr>
      <t>Editor</t>
    </r>
    <r>
      <rPr>
        <sz val="10"/>
        <color theme="1" tint="0.249977111117893"/>
        <rFont val="Century Gothic"/>
        <family val="2"/>
        <scheme val="minor"/>
      </rPr>
      <t xml:space="preserve"> working on group book study; </t>
    </r>
    <r>
      <rPr>
        <b/>
        <sz val="10"/>
        <color theme="1" tint="0.249977111117893"/>
        <rFont val="Century Gothic"/>
        <scheme val="minor"/>
      </rPr>
      <t>Videographer</t>
    </r>
    <r>
      <rPr>
        <sz val="10"/>
        <color theme="1" tint="0.249977111117893"/>
        <rFont val="Century Gothic"/>
        <family val="2"/>
        <scheme val="minor"/>
      </rPr>
      <t xml:space="preserve"> interviewing technical ministries volunteer</t>
    </r>
  </si>
  <si>
    <r>
      <rPr>
        <b/>
        <sz val="10"/>
        <color theme="1" tint="0.249977111117893"/>
        <rFont val="Century Gothic"/>
        <scheme val="minor"/>
      </rPr>
      <t>Editor</t>
    </r>
    <r>
      <rPr>
        <sz val="10"/>
        <color theme="1" tint="0.249977111117893"/>
        <rFont val="Century Gothic"/>
        <family val="2"/>
        <scheme val="minor"/>
      </rPr>
      <t xml:space="preserve"> working on X; </t>
    </r>
    <r>
      <rPr>
        <b/>
        <sz val="10"/>
        <color theme="1" tint="0.249977111117893"/>
        <rFont val="Century Gothic"/>
        <scheme val="minor"/>
      </rPr>
      <t>Videographer</t>
    </r>
    <r>
      <rPr>
        <sz val="10"/>
        <color theme="1" tint="0.249977111117893"/>
        <rFont val="Century Gothic"/>
        <family val="2"/>
        <scheme val="minor"/>
      </rPr>
      <t xml:space="preserve"> interviewing Y volunteer</t>
    </r>
  </si>
  <si>
    <r>
      <rPr>
        <b/>
        <sz val="10"/>
        <color theme="1" tint="0.249977111117893"/>
        <rFont val="Century Gothic"/>
        <scheme val="minor"/>
      </rPr>
      <t>Editor</t>
    </r>
    <r>
      <rPr>
        <sz val="10"/>
        <color theme="1" tint="0.249977111117893"/>
        <rFont val="Century Gothic"/>
        <family val="2"/>
        <scheme val="minor"/>
      </rPr>
      <t xml:space="preserve"> working on technical ministries; </t>
    </r>
    <r>
      <rPr>
        <b/>
        <sz val="10"/>
        <color theme="1" tint="0.249977111117893"/>
        <rFont val="Century Gothic"/>
        <scheme val="minor"/>
      </rPr>
      <t>Videographer</t>
    </r>
    <r>
      <rPr>
        <sz val="10"/>
        <color theme="1" tint="0.249977111117893"/>
        <rFont val="Century Gothic"/>
        <family val="2"/>
        <scheme val="minor"/>
      </rPr>
      <t xml:space="preserve"> interviewing Youth Sunday volunteer</t>
    </r>
  </si>
  <si>
    <r>
      <rPr>
        <b/>
        <sz val="10"/>
        <color theme="1" tint="0.249977111117893"/>
        <rFont val="Century Gothic"/>
        <scheme val="minor"/>
      </rPr>
      <t>Editor</t>
    </r>
    <r>
      <rPr>
        <sz val="10"/>
        <color theme="1" tint="0.249977111117893"/>
        <rFont val="Century Gothic"/>
        <family val="2"/>
        <scheme val="minor"/>
      </rPr>
      <t xml:space="preserve"> working on Youth Sunday; </t>
    </r>
    <r>
      <rPr>
        <b/>
        <sz val="10"/>
        <color theme="1" tint="0.249977111117893"/>
        <rFont val="Century Gothic"/>
        <scheme val="minor"/>
      </rPr>
      <t>Videographer</t>
    </r>
    <r>
      <rPr>
        <sz val="10"/>
        <color theme="1" tint="0.249977111117893"/>
        <rFont val="Century Gothic"/>
        <family val="2"/>
        <scheme val="minor"/>
      </rPr>
      <t xml:space="preserve"> interviewing Stephen's Ministry volunteer</t>
    </r>
  </si>
  <si>
    <r>
      <rPr>
        <b/>
        <sz val="10"/>
        <color theme="1" tint="0.249977111117893"/>
        <rFont val="Century Gothic"/>
        <scheme val="minor"/>
      </rPr>
      <t>Editor</t>
    </r>
    <r>
      <rPr>
        <sz val="10"/>
        <color theme="1" tint="0.249977111117893"/>
        <rFont val="Century Gothic"/>
        <family val="2"/>
        <scheme val="minor"/>
      </rPr>
      <t xml:space="preserve"> working on Stephen's Ministry; </t>
    </r>
    <r>
      <rPr>
        <b/>
        <sz val="10"/>
        <color theme="1" tint="0.249977111117893"/>
        <rFont val="Century Gothic"/>
        <scheme val="minor"/>
      </rPr>
      <t>Videographer</t>
    </r>
    <r>
      <rPr>
        <sz val="10"/>
        <color theme="1" tint="0.249977111117893"/>
        <rFont val="Century Gothic"/>
        <family val="2"/>
        <scheme val="minor"/>
      </rPr>
      <t xml:space="preserve"> interviewing scouting ministries volunteer</t>
    </r>
  </si>
  <si>
    <r>
      <rPr>
        <b/>
        <sz val="10"/>
        <color theme="1" tint="0.249977111117893"/>
        <rFont val="Century Gothic"/>
        <scheme val="minor"/>
      </rPr>
      <t>Editor</t>
    </r>
    <r>
      <rPr>
        <sz val="10"/>
        <color theme="1" tint="0.249977111117893"/>
        <rFont val="Century Gothic"/>
        <family val="2"/>
        <scheme val="minor"/>
      </rPr>
      <t xml:space="preserve"> working on scouting ministries; </t>
    </r>
    <r>
      <rPr>
        <b/>
        <sz val="10"/>
        <color theme="1" tint="0.249977111117893"/>
        <rFont val="Century Gothic"/>
        <scheme val="minor"/>
      </rPr>
      <t>Videographer</t>
    </r>
    <r>
      <rPr>
        <sz val="10"/>
        <color theme="1" tint="0.249977111117893"/>
        <rFont val="Century Gothic"/>
        <family val="2"/>
        <scheme val="minor"/>
      </rPr>
      <t xml:space="preserve"> interviewing X volunteer</t>
    </r>
  </si>
  <si>
    <t>Social media to share video preview</t>
  </si>
  <si>
    <t>E-newsletter to share full video from previous Sunday</t>
  </si>
  <si>
    <t>Technical ministries: Interview subject, videographer, editor; Social media to share full video</t>
  </si>
  <si>
    <t>Youth Sunday - focus on different projects and events throughout the year: Interview subject, videographer, editor; Social media to share full video</t>
  </si>
  <si>
    <t>Stephen's Ministry: Interview subject, videographer, editor; Social media to share full video</t>
  </si>
  <si>
    <t>Scouting ministries: Interview subject, videographer, editor; Social media to share full video</t>
  </si>
  <si>
    <t>Kairos: Interview subject, videographer, editor; Social media to share full video</t>
  </si>
  <si>
    <t>Jazzercise, senior body recall: Interview subject, videographer, editor; Social media to share full video</t>
  </si>
  <si>
    <t>Pastoral care ministries: Interview subject, videographer, editor; Social media to share full video</t>
  </si>
  <si>
    <t>Adult Bible study groups: Interview subject, videographer, editor; Social media to share full video</t>
  </si>
  <si>
    <t>Book study: Interview subject, videographer, editor; Social media to share full video</t>
  </si>
  <si>
    <t>Community recreation - adult basketball: Interview subject, videographer, editor; Social media to share full video</t>
  </si>
  <si>
    <t>Freedom Festival / Popcorn &amp; Firecworks preview to drum up participants: Interview subject, videographer, editor; Social media to share full video</t>
  </si>
  <si>
    <t>4-H Fair - video to drum up participants: Interview subject, videographer, editor; Social media to share full video</t>
  </si>
  <si>
    <t>Mission trips - video with members from Jr/Sr/Adult: Interview subject, videographer, editor; Social media to share full video</t>
  </si>
  <si>
    <t>Junior High to recap Believe Conference: Interview subject, videographer, editor; Social media to share full video</t>
  </si>
  <si>
    <t>Vacation Bible School - drum up volunteers: Interview subject, videographer, editor; Social media to share full video</t>
  </si>
  <si>
    <t>Summer Day Camps - Basketball and open gym: Interview subject, videographer, editor; Social media to share full video</t>
  </si>
  <si>
    <t>Fun Fridays - video as preview for June/July/August events: Interview subject, videographer, editor; Social media to share full video</t>
  </si>
  <si>
    <t>Campus Life: Interview subject, videographer, editor; Social media to share full video</t>
  </si>
  <si>
    <t>Clothes closet: Interview subject, videographer, editor; Social media to share full video</t>
  </si>
  <si>
    <t>Community Service Days: Interview subject, videographer, editor; Social media to share full video</t>
  </si>
  <si>
    <t>Confirmation: Interview subject, videographer, editor; Social media to share full video</t>
  </si>
  <si>
    <t>Faith/Promise projects - video as preview for the May fundraiser: Interview subject, videographer, editor; Social media to share full video</t>
  </si>
  <si>
    <t>Senior High in preparation for 30 Hour Famine event: Interview subject, videographer, editor; Social media to share full video</t>
  </si>
  <si>
    <t>Special music feature: Interview subject, videographer, editor; Social media to share full video</t>
  </si>
  <si>
    <t>Support group partnerships: Interview subject, videographer, editor; Social media to share full video</t>
  </si>
  <si>
    <t>Easter Egg Hunt - as preview for April 16 event: Interview subject, videographer, editor; Social media to share full video</t>
  </si>
  <si>
    <t>Choir: Interview subject, videographer, editor; Social media to share full video</t>
  </si>
  <si>
    <t>United Methodist Men: Interview subject, videographer, editor; Social media to share full video</t>
  </si>
  <si>
    <t>Interfaith Holspitality Network: Interview subject, videographer, editor; Social media to share full video</t>
  </si>
  <si>
    <t>Food pantry: Interview subject, videographer, editor; Social media to share full video</t>
  </si>
  <si>
    <t>Recap Christmas program: Interview subject, videographer, editor; Social media to share full video</t>
  </si>
  <si>
    <t>Hamilton Trace Worship, third Tuesday: Interview subject, videographer, editor; Social media to share full video</t>
  </si>
  <si>
    <t>Ushers ministry: Interview subject, videographer, editor; Social media to share full video</t>
  </si>
  <si>
    <t>Prayer lists, pre-service prayer team: Interview subject, videographer, editor; Social media to share full video</t>
  </si>
  <si>
    <t>Recap student ministries winter retreat: Interview subject, videographer, editor; Social media to share full video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</si>
</sst>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mmm\ yyyy"/>
    <numFmt numFmtId="165" formatCode="d"/>
  </numFmts>
  <fonts count="19" x14ac:knownFonts="1">
    <font>
      <sz val="11"/>
      <name val="Century Gothic"/>
      <family val="2"/>
      <scheme val="minor"/>
    </font>
    <font>
      <sz val="8"/>
      <name val="Arial"/>
      <family val="2"/>
    </font>
    <font>
      <b/>
      <sz val="11"/>
      <color theme="0"/>
      <name val="Century Gothic"/>
      <family val="2"/>
      <scheme val="minor"/>
    </font>
    <font>
      <sz val="11"/>
      <color theme="0"/>
      <name val="Century Gothic"/>
      <family val="2"/>
      <scheme val="minor"/>
    </font>
    <font>
      <sz val="11"/>
      <name val="Arial"/>
      <family val="2"/>
    </font>
    <font>
      <sz val="11"/>
      <name val="Century Gothic"/>
      <family val="2"/>
    </font>
    <font>
      <sz val="11"/>
      <name val="Century Gothic"/>
      <family val="2"/>
      <scheme val="minor"/>
    </font>
    <font>
      <sz val="11"/>
      <color theme="1" tint="0.249977111117893"/>
      <name val="Arial"/>
      <family val="2"/>
    </font>
    <font>
      <sz val="11"/>
      <color theme="1" tint="0.249977111117893"/>
      <name val="Century Gothic"/>
      <family val="2"/>
      <scheme val="minor"/>
    </font>
    <font>
      <b/>
      <sz val="28"/>
      <color theme="1" tint="0.34998626667073579"/>
      <name val="Century Gothic"/>
      <family val="2"/>
      <scheme val="minor"/>
    </font>
    <font>
      <b/>
      <sz val="14"/>
      <color theme="0"/>
      <name val="Century Gothic"/>
      <family val="2"/>
      <scheme val="minor"/>
    </font>
    <font>
      <sz val="14"/>
      <color theme="1" tint="0.34998626667073579"/>
      <name val="Century Gothic"/>
      <family val="2"/>
      <scheme val="minor"/>
    </font>
    <font>
      <sz val="10"/>
      <color theme="1" tint="0.249977111117893"/>
      <name val="Century Gothic"/>
      <family val="2"/>
      <scheme val="minor"/>
    </font>
    <font>
      <sz val="14"/>
      <color theme="1" tint="0.249977111117893"/>
      <name val="Century Gothic"/>
      <family val="2"/>
      <scheme val="minor"/>
    </font>
    <font>
      <b/>
      <sz val="9"/>
      <color indexed="81"/>
      <name val="Geneva"/>
    </font>
    <font>
      <u/>
      <sz val="11"/>
      <color theme="10"/>
      <name val="Century Gothic"/>
      <family val="2"/>
      <scheme val="minor"/>
    </font>
    <font>
      <u/>
      <sz val="11"/>
      <color theme="11"/>
      <name val="Century Gothic"/>
      <family val="2"/>
      <scheme val="minor"/>
    </font>
    <font>
      <sz val="11"/>
      <color rgb="FFFFFFFF"/>
      <name val="Century Gothic"/>
      <family val="2"/>
      <scheme val="minor"/>
    </font>
    <font>
      <b/>
      <sz val="10"/>
      <color theme="1" tint="0.249977111117893"/>
      <name val="Century Gothic"/>
      <scheme val="minor"/>
    </font>
  </fonts>
  <fills count="8">
    <fill>
      <patternFill patternType="none"/>
    </fill>
    <fill>
      <patternFill patternType="gray125"/>
    </fill>
    <fill>
      <patternFill patternType="solid">
        <fgColor indexed="9"/>
        <bgColor indexed="64"/>
      </patternFill>
    </fill>
    <fill>
      <patternFill patternType="solid">
        <fgColor theme="4"/>
      </patternFill>
    </fill>
    <fill>
      <patternFill patternType="solid">
        <fgColor theme="4" tint="0.59999389629810485"/>
        <bgColor indexed="65"/>
      </patternFill>
    </fill>
    <fill>
      <patternFill patternType="solid">
        <fgColor theme="8"/>
      </patternFill>
    </fill>
    <fill>
      <patternFill patternType="solid">
        <fgColor rgb="FFFFFF00"/>
        <bgColor indexed="64"/>
      </patternFill>
    </fill>
    <fill>
      <patternFill patternType="solid">
        <fgColor rgb="FF93A299"/>
        <bgColor rgb="FF000000"/>
      </patternFill>
    </fill>
  </fills>
  <borders count="25">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style="medium">
        <color theme="4" tint="-0.24994659260841701"/>
      </left>
      <right style="thin">
        <color theme="4" tint="0.39994506668294322"/>
      </right>
      <top style="thin">
        <color theme="4" tint="0.39994506668294322"/>
      </top>
      <bottom style="thin">
        <color theme="4" tint="0.39994506668294322"/>
      </bottom>
      <diagonal/>
    </border>
    <border>
      <left style="thin">
        <color theme="4" tint="0.39994506668294322"/>
      </left>
      <right style="medium">
        <color theme="4" tint="-0.24994659260841701"/>
      </right>
      <top style="thin">
        <color theme="4" tint="0.39994506668294322"/>
      </top>
      <bottom style="thin">
        <color theme="4" tint="0.39994506668294322"/>
      </bottom>
      <diagonal/>
    </border>
    <border>
      <left style="thin">
        <color theme="4" tint="0.39994506668294322"/>
      </left>
      <right style="medium">
        <color theme="4" tint="-0.24994659260841701"/>
      </right>
      <top/>
      <bottom style="thin">
        <color theme="4" tint="0.39994506668294322"/>
      </bottom>
      <diagonal/>
    </border>
    <border>
      <left style="medium">
        <color theme="4" tint="-0.24994659260841701"/>
      </left>
      <right style="thin">
        <color theme="4" tint="0.39994506668294322"/>
      </right>
      <top style="thin">
        <color theme="4" tint="0.39994506668294322"/>
      </top>
      <bottom style="medium">
        <color theme="4" tint="-0.24994659260841701"/>
      </bottom>
      <diagonal/>
    </border>
    <border>
      <left style="thin">
        <color theme="4" tint="0.39994506668294322"/>
      </left>
      <right style="thin">
        <color theme="4" tint="0.39994506668294322"/>
      </right>
      <top style="thin">
        <color theme="4" tint="0.39994506668294322"/>
      </top>
      <bottom style="medium">
        <color theme="4" tint="-0.24994659260841701"/>
      </bottom>
      <diagonal/>
    </border>
    <border>
      <left style="medium">
        <color theme="4" tint="-0.24994659260841701"/>
      </left>
      <right style="thin">
        <color theme="4" tint="0.39994506668294322"/>
      </right>
      <top style="medium">
        <color theme="4" tint="-0.24994659260841701"/>
      </top>
      <bottom/>
      <diagonal/>
    </border>
    <border>
      <left style="thin">
        <color theme="4" tint="0.39994506668294322"/>
      </left>
      <right style="thin">
        <color theme="4" tint="0.39994506668294322"/>
      </right>
      <top style="medium">
        <color theme="4" tint="-0.24994659260841701"/>
      </top>
      <bottom/>
      <diagonal/>
    </border>
    <border>
      <left style="thin">
        <color theme="4" tint="0.39994506668294322"/>
      </left>
      <right style="medium">
        <color theme="4" tint="-0.24994659260841701"/>
      </right>
      <top style="medium">
        <color theme="4" tint="-0.24994659260841701"/>
      </top>
      <bottom/>
      <diagonal/>
    </border>
    <border>
      <left style="medium">
        <color theme="4" tint="-0.24994659260841701"/>
      </left>
      <right style="thin">
        <color theme="4" tint="0.39994506668294322"/>
      </right>
      <top style="medium">
        <color theme="4" tint="-0.24994659260841701"/>
      </top>
      <bottom style="thin">
        <color theme="4" tint="0.39994506668294322"/>
      </bottom>
      <diagonal/>
    </border>
    <border>
      <left style="thin">
        <color theme="4" tint="0.39994506668294322"/>
      </left>
      <right style="thin">
        <color theme="4" tint="0.39994506668294322"/>
      </right>
      <top style="medium">
        <color theme="4" tint="-0.24994659260841701"/>
      </top>
      <bottom style="thin">
        <color theme="4" tint="0.39994506668294322"/>
      </bottom>
      <diagonal/>
    </border>
    <border>
      <left style="thin">
        <color theme="4" tint="0.39994506668294322"/>
      </left>
      <right style="medium">
        <color theme="4" tint="-0.24994659260841701"/>
      </right>
      <top style="medium">
        <color theme="4" tint="-0.24994659260841701"/>
      </top>
      <bottom style="thin">
        <color theme="4" tint="0.39994506668294322"/>
      </bottom>
      <diagonal/>
    </border>
    <border>
      <left style="medium">
        <color theme="4" tint="-0.24994659260841701"/>
      </left>
      <right style="thin">
        <color theme="4" tint="0.39994506668294322"/>
      </right>
      <top/>
      <bottom style="thin">
        <color theme="4" tint="0.39994506668294322"/>
      </bottom>
      <diagonal/>
    </border>
    <border>
      <left style="thin">
        <color theme="4" tint="0.39994506668294322"/>
      </left>
      <right/>
      <top style="thin">
        <color theme="4" tint="0.39994506668294322"/>
      </top>
      <bottom style="medium">
        <color theme="4" tint="-0.24994659260841701"/>
      </bottom>
      <diagonal/>
    </border>
    <border>
      <left/>
      <right/>
      <top style="thin">
        <color theme="4" tint="0.39994506668294322"/>
      </top>
      <bottom style="medium">
        <color theme="4" tint="-0.24994659260841701"/>
      </bottom>
      <diagonal/>
    </border>
    <border>
      <left/>
      <right style="medium">
        <color theme="4" tint="-0.24994659260841701"/>
      </right>
      <top style="thin">
        <color theme="4" tint="0.39994506668294322"/>
      </top>
      <bottom style="medium">
        <color theme="4" tint="-0.24994659260841701"/>
      </bottom>
      <diagonal/>
    </border>
    <border>
      <left style="medium">
        <color theme="4" tint="-0.24994659260841701"/>
      </left>
      <right/>
      <top style="thin">
        <color theme="4" tint="0.39994506668294322"/>
      </top>
      <bottom style="medium">
        <color theme="4" tint="-0.24994659260841701"/>
      </bottom>
      <diagonal/>
    </border>
    <border>
      <left style="thin">
        <color theme="4" tint="0.39994506668294322"/>
      </left>
      <right/>
      <top style="thin">
        <color theme="4" tint="0.39994506668294322"/>
      </top>
      <bottom style="medium">
        <color rgb="FF6A7B71"/>
      </bottom>
      <diagonal/>
    </border>
    <border>
      <left/>
      <right/>
      <top style="thin">
        <color theme="4" tint="0.39994506668294322"/>
      </top>
      <bottom style="medium">
        <color rgb="FF6A7B71"/>
      </bottom>
      <diagonal/>
    </border>
    <border>
      <left/>
      <right style="medium">
        <color rgb="FF6A7B71"/>
      </right>
      <top style="thin">
        <color theme="4" tint="0.39994506668294322"/>
      </top>
      <bottom style="medium">
        <color rgb="FF6A7B71"/>
      </bottom>
      <diagonal/>
    </border>
  </borders>
  <cellStyleXfs count="35">
    <xf numFmtId="0" fontId="0" fillId="0" borderId="0"/>
    <xf numFmtId="0" fontId="9" fillId="0" borderId="0" applyNumberFormat="0" applyFill="0" applyAlignment="0" applyProtection="0"/>
    <xf numFmtId="0" fontId="2" fillId="3" borderId="1" applyNumberFormat="0" applyAlignment="0" applyProtection="0"/>
    <xf numFmtId="0" fontId="11" fillId="4" borderId="0" applyNumberFormat="0" applyBorder="0" applyAlignment="0" applyProtection="0"/>
    <xf numFmtId="0" fontId="10" fillId="5" borderId="3" applyNumberFormat="0" applyProtection="0">
      <alignment vertical="center"/>
    </xf>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cellStyleXfs>
  <cellXfs count="50">
    <xf numFmtId="0" fontId="0" fillId="0" borderId="0" xfId="0"/>
    <xf numFmtId="0" fontId="4" fillId="2" borderId="0" xfId="0" applyFont="1" applyFill="1"/>
    <xf numFmtId="0" fontId="5" fillId="2" borderId="0" xfId="0" applyFont="1" applyFill="1"/>
    <xf numFmtId="0" fontId="5" fillId="0" borderId="0" xfId="0" applyFont="1"/>
    <xf numFmtId="0" fontId="4" fillId="0" borderId="0" xfId="0" applyFont="1"/>
    <xf numFmtId="165" fontId="8" fillId="0" borderId="1" xfId="0" applyNumberFormat="1" applyFont="1" applyFill="1" applyBorder="1" applyAlignment="1">
      <alignment horizontal="left" vertical="center" wrapText="1" indent="1"/>
    </xf>
    <xf numFmtId="165" fontId="8" fillId="2" borderId="1" xfId="0" applyNumberFormat="1" applyFont="1" applyFill="1" applyBorder="1" applyAlignment="1">
      <alignment horizontal="left" vertical="center" wrapText="1" indent="1"/>
    </xf>
    <xf numFmtId="0" fontId="11" fillId="4" borderId="4" xfId="3" applyBorder="1" applyAlignment="1">
      <alignment horizontal="right" vertical="center" wrapText="1"/>
    </xf>
    <xf numFmtId="0" fontId="11" fillId="4" borderId="5" xfId="3" applyBorder="1" applyAlignment="1">
      <alignment vertical="center"/>
    </xf>
    <xf numFmtId="165" fontId="7" fillId="0" borderId="6" xfId="0" applyNumberFormat="1" applyFont="1" applyBorder="1" applyAlignment="1">
      <alignment horizontal="left" vertical="center" indent="1"/>
    </xf>
    <xf numFmtId="165" fontId="8" fillId="0" borderId="7" xfId="0" applyNumberFormat="1" applyFont="1" applyFill="1" applyBorder="1" applyAlignment="1">
      <alignment horizontal="left" vertical="center" wrapText="1" indent="1"/>
    </xf>
    <xf numFmtId="165" fontId="8" fillId="0" borderId="6" xfId="0" applyNumberFormat="1" applyFont="1" applyFill="1" applyBorder="1" applyAlignment="1">
      <alignment horizontal="left" vertical="center" wrapText="1" indent="1"/>
    </xf>
    <xf numFmtId="165" fontId="8" fillId="2" borderId="6" xfId="0" applyNumberFormat="1" applyFont="1" applyFill="1" applyBorder="1" applyAlignment="1">
      <alignment horizontal="left" vertical="center" wrapText="1" indent="1"/>
    </xf>
    <xf numFmtId="165" fontId="8" fillId="2" borderId="7" xfId="0" applyNumberFormat="1" applyFont="1" applyFill="1" applyBorder="1" applyAlignment="1">
      <alignment horizontal="left" vertical="center" wrapText="1" indent="1"/>
    </xf>
    <xf numFmtId="0" fontId="2" fillId="3" borderId="11" xfId="2" applyBorder="1" applyAlignment="1">
      <alignment horizontal="center" vertical="center"/>
    </xf>
    <xf numFmtId="0" fontId="2" fillId="3" borderId="12" xfId="2" applyBorder="1" applyAlignment="1">
      <alignment horizontal="center" vertical="center"/>
    </xf>
    <xf numFmtId="0" fontId="2" fillId="3" borderId="13" xfId="2" applyBorder="1" applyAlignment="1">
      <alignment horizontal="center" vertical="center"/>
    </xf>
    <xf numFmtId="0" fontId="2" fillId="3" borderId="14" xfId="2" applyBorder="1" applyAlignment="1">
      <alignment horizontal="center" vertical="center"/>
    </xf>
    <xf numFmtId="0" fontId="2" fillId="3" borderId="15" xfId="2" applyBorder="1" applyAlignment="1">
      <alignment horizontal="center" vertical="center"/>
    </xf>
    <xf numFmtId="0" fontId="2" fillId="3" borderId="16" xfId="2" applyBorder="1" applyAlignment="1">
      <alignment horizontal="center" vertical="center"/>
    </xf>
    <xf numFmtId="0" fontId="4" fillId="0" borderId="0" xfId="0" applyFont="1"/>
    <xf numFmtId="0" fontId="6" fillId="0" borderId="0" xfId="0" applyFont="1"/>
    <xf numFmtId="0" fontId="6" fillId="0" borderId="0" xfId="0" applyFont="1" applyFill="1"/>
    <xf numFmtId="165" fontId="8" fillId="2" borderId="2" xfId="0" applyNumberFormat="1" applyFont="1" applyFill="1" applyBorder="1" applyAlignment="1">
      <alignment horizontal="left" vertical="center" wrapText="1" indent="1"/>
    </xf>
    <xf numFmtId="0" fontId="12" fillId="0" borderId="1" xfId="0" applyFont="1" applyFill="1" applyBorder="1" applyAlignment="1">
      <alignment horizontal="left" vertical="center" wrapText="1" indent="1"/>
    </xf>
    <xf numFmtId="0" fontId="12" fillId="2" borderId="1" xfId="0" applyFont="1" applyFill="1" applyBorder="1" applyAlignment="1">
      <alignment horizontal="left" vertical="center" wrapText="1" indent="1"/>
    </xf>
    <xf numFmtId="0" fontId="12" fillId="0" borderId="10" xfId="0" applyFont="1" applyFill="1" applyBorder="1" applyAlignment="1">
      <alignment horizontal="left" vertical="center" wrapText="1" indent="1"/>
    </xf>
    <xf numFmtId="165" fontId="8" fillId="2" borderId="17" xfId="0" applyNumberFormat="1" applyFont="1" applyFill="1" applyBorder="1" applyAlignment="1">
      <alignment horizontal="left" vertical="center" wrapText="1" indent="1"/>
    </xf>
    <xf numFmtId="0" fontId="12" fillId="4" borderId="6" xfId="3" applyFont="1" applyBorder="1" applyAlignment="1">
      <alignment horizontal="left" vertical="center" wrapText="1" indent="1"/>
    </xf>
    <xf numFmtId="0" fontId="12" fillId="4" borderId="7" xfId="3" applyFont="1" applyBorder="1" applyAlignment="1">
      <alignment horizontal="left" vertical="center" wrapText="1" indent="1"/>
    </xf>
    <xf numFmtId="0" fontId="12" fillId="4" borderId="9" xfId="3" applyFont="1" applyBorder="1" applyAlignment="1">
      <alignment horizontal="left" vertical="center" wrapText="1" indent="1"/>
    </xf>
    <xf numFmtId="0" fontId="13" fillId="4" borderId="9" xfId="3" applyFont="1" applyBorder="1" applyAlignment="1">
      <alignment horizontal="left" vertical="center" wrapText="1" indent="1"/>
    </xf>
    <xf numFmtId="0" fontId="12" fillId="6" borderId="6" xfId="3" applyFont="1" applyFill="1" applyBorder="1" applyAlignment="1">
      <alignment horizontal="left" vertical="center" wrapText="1" indent="1"/>
    </xf>
    <xf numFmtId="0" fontId="12" fillId="6" borderId="9" xfId="3" applyFont="1" applyFill="1" applyBorder="1" applyAlignment="1">
      <alignment horizontal="left" vertical="center" wrapText="1" indent="1"/>
    </xf>
    <xf numFmtId="0" fontId="12" fillId="6" borderId="6" xfId="0" applyFont="1" applyFill="1" applyBorder="1" applyAlignment="1">
      <alignment horizontal="left" vertical="center" wrapText="1" indent="1"/>
    </xf>
    <xf numFmtId="164" fontId="9" fillId="2" borderId="0" xfId="1" applyNumberFormat="1" applyFill="1" applyAlignment="1">
      <alignment horizontal="center" vertical="center"/>
    </xf>
    <xf numFmtId="0" fontId="3" fillId="3" borderId="18" xfId="2" applyFont="1" applyBorder="1" applyAlignment="1">
      <alignment horizontal="left" vertical="center" wrapText="1"/>
    </xf>
    <xf numFmtId="0" fontId="3" fillId="3" borderId="19" xfId="2" applyFont="1" applyBorder="1" applyAlignment="1">
      <alignment horizontal="left" vertical="center" wrapText="1"/>
    </xf>
    <xf numFmtId="0" fontId="3" fillId="3" borderId="20" xfId="2" applyFont="1" applyBorder="1" applyAlignment="1">
      <alignment horizontal="left" vertical="center" wrapText="1"/>
    </xf>
    <xf numFmtId="165" fontId="2" fillId="3" borderId="2" xfId="2" applyNumberFormat="1" applyBorder="1" applyAlignment="1">
      <alignment horizontal="left" vertical="center" wrapText="1"/>
    </xf>
    <xf numFmtId="165" fontId="2" fillId="3" borderId="8" xfId="2" applyNumberFormat="1" applyBorder="1" applyAlignment="1">
      <alignment horizontal="left" vertical="center" wrapText="1"/>
    </xf>
    <xf numFmtId="0" fontId="3" fillId="3" borderId="21" xfId="2" applyFont="1" applyBorder="1" applyAlignment="1">
      <alignment horizontal="left" vertical="center" wrapText="1"/>
    </xf>
    <xf numFmtId="165" fontId="2" fillId="3" borderId="6" xfId="2" applyNumberFormat="1" applyFont="1" applyBorder="1" applyAlignment="1">
      <alignment horizontal="left" vertical="center" wrapText="1"/>
    </xf>
    <xf numFmtId="165" fontId="2" fillId="3" borderId="1" xfId="2" applyNumberFormat="1" applyFont="1" applyBorder="1" applyAlignment="1">
      <alignment horizontal="left" vertical="center" wrapText="1"/>
    </xf>
    <xf numFmtId="165" fontId="2" fillId="3" borderId="7" xfId="2" applyNumberFormat="1" applyFont="1" applyBorder="1" applyAlignment="1">
      <alignment horizontal="left" vertical="center" wrapText="1"/>
    </xf>
    <xf numFmtId="0" fontId="17" fillId="7" borderId="22" xfId="0" applyFont="1" applyFill="1" applyBorder="1" applyAlignment="1">
      <alignment horizontal="left" vertical="center" wrapText="1"/>
    </xf>
    <xf numFmtId="0" fontId="17" fillId="7" borderId="23" xfId="0" applyFont="1" applyFill="1" applyBorder="1" applyAlignment="1">
      <alignment horizontal="left" vertical="center" wrapText="1"/>
    </xf>
    <xf numFmtId="0" fontId="17" fillId="7" borderId="24" xfId="0" applyFont="1" applyFill="1" applyBorder="1" applyAlignment="1">
      <alignment horizontal="left" vertical="center" wrapText="1"/>
    </xf>
    <xf numFmtId="165" fontId="2" fillId="3" borderId="1" xfId="2" applyNumberFormat="1" applyBorder="1" applyAlignment="1">
      <alignment horizontal="left" vertical="center" wrapText="1"/>
    </xf>
    <xf numFmtId="165" fontId="2" fillId="3" borderId="7" xfId="2" applyNumberFormat="1" applyBorder="1" applyAlignment="1">
      <alignment horizontal="left" vertical="center" wrapText="1"/>
    </xf>
  </cellXfs>
  <cellStyles count="35">
    <cellStyle name="40% - Accent1" xfId="3" builtinId="31" customBuiltin="1"/>
    <cellStyle name="Accent1" xfId="2" builtinId="29" customBuiltin="1"/>
    <cellStyle name="Accent5" xfId="4" builtinId="45" customBuilti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Heading 1" xfId="1" builtinId="16" customBuilti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Normal" xfId="0" builtinId="0" customBuiltin="1"/>
  </cellStyles>
  <dxfs count="3">
    <dxf>
      <font>
        <strike val="0"/>
        <outline val="0"/>
        <shadow val="0"/>
        <u val="none"/>
        <vertAlign val="baseline"/>
        <sz val="11"/>
        <color auto="1"/>
      </font>
    </dxf>
    <dxf>
      <font>
        <strike val="0"/>
        <outline val="0"/>
        <shadow val="0"/>
        <u val="none"/>
        <vertAlign val="baseline"/>
        <sz val="11"/>
        <color auto="1"/>
      </font>
    </dxf>
    <dxf>
      <font>
        <strike val="0"/>
        <outline val="0"/>
        <shadow val="0"/>
        <u val="none"/>
        <vertAlign val="baseline"/>
        <sz val="11"/>
        <color auto="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styles" Target="styles.xml"/><Relationship Id="rId16" Type="http://schemas.openxmlformats.org/officeDocument/2006/relationships/sharedStrings" Target="sharedStrings.xml"/><Relationship Id="rId1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ables/table1.xml><?xml version="1.0" encoding="utf-8"?>
<table xmlns="http://schemas.openxmlformats.org/spreadsheetml/2006/main" id="1" name="YearLookup" displayName="YearLookup" ref="A1:A9" totalsRowShown="0" headerRowDxfId="2" dataDxfId="1">
  <autoFilter ref="A1:A9"/>
  <tableColumns count="1">
    <tableColumn id="1" name="Year" dataDxfId="0"/>
  </tableColumns>
  <tableStyleInfo name="TableStyleMedium23"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pothecary">
  <a:themeElements>
    <a:clrScheme name="Apothecary">
      <a:dk1>
        <a:sysClr val="windowText" lastClr="000000"/>
      </a:dk1>
      <a:lt1>
        <a:sysClr val="window" lastClr="FFFFFF"/>
      </a:lt1>
      <a:dk2>
        <a:srgbClr val="564B3C"/>
      </a:dk2>
      <a:lt2>
        <a:srgbClr val="ECEDD1"/>
      </a:lt2>
      <a:accent1>
        <a:srgbClr val="93A299"/>
      </a:accent1>
      <a:accent2>
        <a:srgbClr val="CF543F"/>
      </a:accent2>
      <a:accent3>
        <a:srgbClr val="B5AE53"/>
      </a:accent3>
      <a:accent4>
        <a:srgbClr val="848058"/>
      </a:accent4>
      <a:accent5>
        <a:srgbClr val="E8B54D"/>
      </a:accent5>
      <a:accent6>
        <a:srgbClr val="786C71"/>
      </a:accent6>
      <a:hlink>
        <a:srgbClr val="CCCC00"/>
      </a:hlink>
      <a:folHlink>
        <a:srgbClr val="B2B2B2"/>
      </a:folHlink>
    </a:clrScheme>
    <a:fontScheme name="Calendar">
      <a:majorFont>
        <a:latin typeface="Century Gothic"/>
        <a:ea typeface=""/>
        <a:cs typeface=""/>
      </a:majorFont>
      <a:minorFont>
        <a:latin typeface="Century Gothic"/>
        <a:ea typeface=""/>
        <a:cs typeface=""/>
      </a:minorFont>
    </a:fontScheme>
    <a:fmtScheme name="Apothecary">
      <a:fillStyleLst>
        <a:solidFill>
          <a:schemeClr val="phClr"/>
        </a:solidFill>
        <a:gradFill rotWithShape="1">
          <a:gsLst>
            <a:gs pos="0">
              <a:schemeClr val="phClr">
                <a:tint val="1000"/>
                <a:satMod val="100000"/>
              </a:schemeClr>
            </a:gs>
            <a:gs pos="68000">
              <a:schemeClr val="phClr">
                <a:tint val="77000"/>
                <a:satMod val="100000"/>
              </a:schemeClr>
            </a:gs>
            <a:gs pos="81000">
              <a:schemeClr val="phClr">
                <a:tint val="79000"/>
                <a:satMod val="100000"/>
              </a:schemeClr>
            </a:gs>
            <a:gs pos="86000">
              <a:schemeClr val="phClr">
                <a:tint val="73000"/>
                <a:satMod val="100000"/>
              </a:schemeClr>
            </a:gs>
            <a:gs pos="100000">
              <a:schemeClr val="phClr">
                <a:tint val="35000"/>
                <a:satMod val="100000"/>
              </a:schemeClr>
            </a:gs>
          </a:gsLst>
          <a:lin ang="5400000" scaled="0"/>
        </a:gradFill>
        <a:gradFill rotWithShape="1">
          <a:gsLst>
            <a:gs pos="0">
              <a:schemeClr val="phClr">
                <a:tint val="73000"/>
                <a:shade val="100000"/>
                <a:satMod val="150000"/>
              </a:schemeClr>
            </a:gs>
            <a:gs pos="25000">
              <a:schemeClr val="phClr">
                <a:tint val="96000"/>
                <a:shade val="80000"/>
                <a:satMod val="105000"/>
              </a:schemeClr>
            </a:gs>
            <a:gs pos="38000">
              <a:schemeClr val="phClr">
                <a:tint val="96000"/>
                <a:shade val="59000"/>
                <a:satMod val="120000"/>
              </a:schemeClr>
            </a:gs>
            <a:gs pos="55000">
              <a:schemeClr val="phClr">
                <a:tint val="100000"/>
                <a:shade val="57000"/>
                <a:satMod val="120000"/>
              </a:schemeClr>
            </a:gs>
            <a:gs pos="80000">
              <a:schemeClr val="phClr">
                <a:tint val="100000"/>
                <a:shade val="56000"/>
                <a:satMod val="145000"/>
              </a:schemeClr>
            </a:gs>
            <a:gs pos="88000">
              <a:schemeClr val="phClr">
                <a:tint val="100000"/>
                <a:shade val="63000"/>
                <a:satMod val="160000"/>
              </a:schemeClr>
            </a:gs>
            <a:gs pos="100000">
              <a:schemeClr val="phClr">
                <a:tint val="99000"/>
                <a:shade val="100000"/>
                <a:satMod val="155000"/>
              </a:schemeClr>
            </a:gs>
          </a:gsLst>
          <a:lin ang="54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scene3d>
            <a:camera prst="orthographicFront">
              <a:rot lat="0" lon="0" rev="0"/>
            </a:camera>
            <a:lightRig rig="glow" dir="tl">
              <a:rot lat="0" lon="0" rev="1800000"/>
            </a:lightRig>
          </a:scene3d>
          <a:sp3d contourW="10160" prstMaterial="dkEdge">
            <a:bevelT w="0" h="0" prst="angle"/>
            <a:contourClr>
              <a:schemeClr val="phClr">
                <a:shade val="30000"/>
                <a:satMod val="150000"/>
              </a:schemeClr>
            </a:contourClr>
          </a:sp3d>
        </a:effectStyle>
        <a:effectStyle>
          <a:effectLst>
            <a:glow rad="50800">
              <a:schemeClr val="phClr">
                <a:tint val="68000"/>
                <a:shade val="93000"/>
                <a:alpha val="37000"/>
                <a:satMod val="250000"/>
              </a:schemeClr>
            </a:glow>
          </a:effectLst>
          <a:scene3d>
            <a:camera prst="orthographicFront">
              <a:rot lat="0" lon="0" rev="0"/>
            </a:camera>
            <a:lightRig rig="glow" dir="t">
              <a:rot lat="0" lon="0" rev="1800000"/>
            </a:lightRig>
          </a:scene3d>
          <a:sp3d contourW="10160" prstMaterial="dkEdge">
            <a:bevelT w="20320" h="19050" prst="angle"/>
            <a:contourClr>
              <a:schemeClr val="phClr">
                <a:shade val="30000"/>
                <a:satMod val="150000"/>
              </a:schemeClr>
            </a:contourClr>
          </a:sp3d>
        </a:effectStyle>
      </a:effectStyleLst>
      <a:bgFillStyleLst>
        <a:solidFill>
          <a:schemeClr val="phClr"/>
        </a:solidFill>
        <a:solidFill>
          <a:schemeClr val="phClr">
            <a:tint val="93000"/>
            <a:satMod val="140000"/>
          </a:schemeClr>
        </a:solidFill>
        <a:blipFill rotWithShape="1">
          <a:blip xmlns:r="http://schemas.openxmlformats.org/officeDocument/2006/relationships" r:embed="rId1">
            <a:duotone>
              <a:schemeClr val="phClr">
                <a:tint val="70000"/>
                <a:satMod val="170000"/>
              </a:schemeClr>
              <a:schemeClr val="phClr">
                <a:shade val="70000"/>
                <a:satMod val="130000"/>
              </a:schemeClr>
            </a:duotone>
          </a:blip>
          <a:tile tx="0" ty="0" sx="100000" sy="100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table" Target="../tables/table1.xml"/><Relationship Id="rId3"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K14"/>
  <sheetViews>
    <sheetView showGridLines="0" tabSelected="1" workbookViewId="0">
      <selection activeCell="F10" sqref="F10"/>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9" width="8.7109375" style="4"/>
    <col min="10" max="10" width="15.28515625" style="4" customWidth="1"/>
    <col min="11" max="11" width="16.7109375" style="4" customWidth="1"/>
    <col min="12" max="16384" width="8.7109375" style="4"/>
  </cols>
  <sheetData>
    <row r="1" spans="1:11" s="1" customFormat="1" ht="72" customHeight="1" thickBot="1">
      <c r="B1" s="35">
        <f>DATE(CalendarYear,1,1)</f>
        <v>42736</v>
      </c>
      <c r="C1" s="35"/>
      <c r="D1" s="35"/>
      <c r="E1" s="35"/>
      <c r="F1" s="35"/>
      <c r="G1" s="35"/>
      <c r="H1" s="35"/>
      <c r="J1" s="7" t="s">
        <v>10</v>
      </c>
      <c r="K1" s="8">
        <v>2017</v>
      </c>
    </row>
    <row r="2" spans="1:11" s="3" customFormat="1" ht="14" customHeight="1">
      <c r="A2" s="2"/>
      <c r="B2" s="14" t="s">
        <v>0</v>
      </c>
      <c r="C2" s="15" t="s">
        <v>1</v>
      </c>
      <c r="D2" s="15" t="s">
        <v>2</v>
      </c>
      <c r="E2" s="15" t="s">
        <v>3</v>
      </c>
      <c r="F2" s="15" t="s">
        <v>4</v>
      </c>
      <c r="G2" s="15" t="s">
        <v>5</v>
      </c>
      <c r="H2" s="16" t="s">
        <v>6</v>
      </c>
    </row>
    <row r="3" spans="1:11" ht="14" customHeight="1">
      <c r="B3" s="9">
        <f>IF(AND(YEAR(JanSun1)=CalendarYear,MONTH(JanSun1)=1),JanSun1, "")</f>
        <v>42736</v>
      </c>
      <c r="C3" s="5">
        <f>IF(AND(YEAR(JanSun1+1)=CalendarYear,MONTH(JanSun1+1)=1),JanSun1+1, "")</f>
        <v>42737</v>
      </c>
      <c r="D3" s="5">
        <f>IF(AND(YEAR(JanSun1+2)=CalendarYear,MONTH(JanSun1+2)=1),JanSun1+2, "")</f>
        <v>42738</v>
      </c>
      <c r="E3" s="5">
        <f>IF(AND(YEAR(JanSun1+3)=CalendarYear,MONTH(JanSun1+3)=1),JanSun1+3, "")</f>
        <v>42739</v>
      </c>
      <c r="F3" s="5">
        <f>IF(AND(YEAR(JanSun1+4)=CalendarYear,MONTH(JanSun1+4)=1),JanSun1+4, "")</f>
        <v>42740</v>
      </c>
      <c r="G3" s="5">
        <f>IF(AND(YEAR(JanSun1+5)=CalendarYear,MONTH(JanSun1+5)=1),JanSun1+5, "")</f>
        <v>42741</v>
      </c>
      <c r="H3" s="10">
        <f>IF(AND(YEAR(JanSun1+6)=CalendarYear,MONTH(JanSun1+6)=1),JanSun1+6, "")</f>
        <v>42742</v>
      </c>
    </row>
    <row r="4" spans="1:11" ht="72" customHeight="1">
      <c r="B4" s="32" t="s">
        <v>81</v>
      </c>
      <c r="C4" s="24" t="s">
        <v>14</v>
      </c>
      <c r="D4" s="25"/>
      <c r="E4" s="25" t="s">
        <v>50</v>
      </c>
      <c r="F4" s="25"/>
      <c r="G4" s="25" t="s">
        <v>49</v>
      </c>
      <c r="H4" s="29"/>
    </row>
    <row r="5" spans="1:11" ht="14" customHeight="1">
      <c r="B5" s="11">
        <f>IF(AND(YEAR(JanSun1+7)=CalendarYear,MONTH(JanSun1+7)=1),JanSun1+7, "")</f>
        <v>42743</v>
      </c>
      <c r="C5" s="5">
        <f>IF(AND(YEAR(JanSun1+8)=CalendarYear,MONTH(JanSun1+8)=1),JanSun1+8, "")</f>
        <v>42744</v>
      </c>
      <c r="D5" s="5">
        <f>IF(AND(YEAR(JanSun1+9)=CalendarYear,MONTH(JanSun1+9)=1),JanSun1+9, "")</f>
        <v>42745</v>
      </c>
      <c r="E5" s="5">
        <f>IF(AND(YEAR(JanSun1+10)=CalendarYear,MONTH(JanSun1+10)=1),JanSun1+10, "")</f>
        <v>42746</v>
      </c>
      <c r="F5" s="5">
        <f>IF(AND(YEAR(JanSun1+11)=CalendarYear,MONTH(JanSun1+11)=1),JanSun1+11, "")</f>
        <v>42747</v>
      </c>
      <c r="G5" s="5">
        <f>IF(AND(YEAR(JanSun1+12)=CalendarYear,MONTH(JanSun1+12)=1),JanSun1+12,"")</f>
        <v>42748</v>
      </c>
      <c r="H5" s="10">
        <f>IF(AND(YEAR(JanSun1+13)=CalendarYear,MONTH(JanSun1+13)=1),JanSun1+13, "")</f>
        <v>42749</v>
      </c>
    </row>
    <row r="6" spans="1:11" ht="72" customHeight="1">
      <c r="B6" s="32" t="s">
        <v>82</v>
      </c>
      <c r="C6" s="24" t="s">
        <v>15</v>
      </c>
      <c r="D6" s="25"/>
      <c r="E6" s="25" t="s">
        <v>50</v>
      </c>
      <c r="F6" s="25"/>
      <c r="G6" s="25" t="s">
        <v>49</v>
      </c>
      <c r="H6" s="29"/>
    </row>
    <row r="7" spans="1:11" ht="14" customHeight="1">
      <c r="B7" s="11">
        <f>IF(AND(YEAR(JanSun1+14)=CalendarYear,MONTH(JanSun1+14)=1),JanSun1+14, "")</f>
        <v>42750</v>
      </c>
      <c r="C7" s="5">
        <f>IF(AND(YEAR(JanSun1+15)=CalendarYear,MONTH(JanSun1+15)=1),JanSun1+15, "")</f>
        <v>42751</v>
      </c>
      <c r="D7" s="5">
        <f>IF(AND(YEAR(JanSun1+16)=CalendarYear,MONTH(JanSun1+16)=1),JanSun1+16, "")</f>
        <v>42752</v>
      </c>
      <c r="E7" s="5">
        <f>IF(AND(YEAR(JanSun1+17)=CalendarYear,MONTH(JanSun1+17)=1),JanSun1+17, "")</f>
        <v>42753</v>
      </c>
      <c r="F7" s="5">
        <f>IF(AND(YEAR(JanSun1+18)=CalendarYear,MONTH(JanSun1+18)=1),JanSun1+18, "")</f>
        <v>42754</v>
      </c>
      <c r="G7" s="5">
        <f>IF(AND(YEAR(JanSun1+19)=CalendarYear,MONTH(JanSun1+19)=1),JanSun1+19, "")</f>
        <v>42755</v>
      </c>
      <c r="H7" s="10">
        <f>IF(AND(YEAR(JanSun1+20)=CalendarYear,MONTH(JanSun1+20)=1),JanSun1+20, "")</f>
        <v>42756</v>
      </c>
    </row>
    <row r="8" spans="1:11" ht="72" customHeight="1">
      <c r="B8" s="32" t="s">
        <v>83</v>
      </c>
      <c r="C8" s="24" t="s">
        <v>16</v>
      </c>
      <c r="D8" s="25"/>
      <c r="E8" s="25" t="s">
        <v>50</v>
      </c>
      <c r="F8" s="25"/>
      <c r="G8" s="25" t="s">
        <v>49</v>
      </c>
      <c r="H8" s="29"/>
    </row>
    <row r="9" spans="1:11" ht="14" customHeight="1">
      <c r="B9" s="12">
        <f>IF(AND(YEAR(JanSun1+21)=CalendarYear,MONTH(JanSun1+21)=1),JanSun1+21, "")</f>
        <v>42757</v>
      </c>
      <c r="C9" s="6">
        <f>IF(AND(YEAR(JanSun1+22)=CalendarYear,MONTH(JanSun1+22)=1),JanSun1+22, "")</f>
        <v>42758</v>
      </c>
      <c r="D9" s="6">
        <f>IF(AND(YEAR(JanSun1+23)=CalendarYear,MONTH(JanSun1+23)=1),JanSun1+23, "")</f>
        <v>42759</v>
      </c>
      <c r="E9" s="6">
        <f>IF(AND(YEAR(JanSun1+24)=CalendarYear,MONTH(JanSun1+24)=1),JanSun1+24, "")</f>
        <v>42760</v>
      </c>
      <c r="F9" s="6">
        <f>IF(AND(YEAR(JanSun1+25)=CalendarYear,MONTH(JanSun1+25)=1),JanSun1+25, "")</f>
        <v>42761</v>
      </c>
      <c r="G9" s="6">
        <f>IF(AND(YEAR(JanSun1+26)=CalendarYear,MONTH(JanSun1+26)=1),JanSun1+26, "")</f>
        <v>42762</v>
      </c>
      <c r="H9" s="13">
        <f>IF(AND(YEAR(JanSun1+27)=CalendarYear,MONTH(JanSun1+27)=1),JanSun1+27, "")</f>
        <v>42763</v>
      </c>
    </row>
    <row r="10" spans="1:11" ht="72" customHeight="1">
      <c r="B10" s="32" t="s">
        <v>84</v>
      </c>
      <c r="C10" s="24" t="s">
        <v>17</v>
      </c>
      <c r="D10" s="25"/>
      <c r="E10" s="25" t="s">
        <v>50</v>
      </c>
      <c r="F10" s="25"/>
      <c r="G10" s="25" t="s">
        <v>49</v>
      </c>
      <c r="H10" s="29"/>
    </row>
    <row r="11" spans="1:11" ht="14" customHeight="1">
      <c r="B11" s="12">
        <f>IF(AND(YEAR(JanSun1+28)=CalendarYear,MONTH(JanSun1+28)=1),JanSun1+28, "")</f>
        <v>42764</v>
      </c>
      <c r="C11" s="6">
        <f>IF(AND(YEAR(JanSun1+29)=CalendarYear,MONTH(JanSun1+29)=1),JanSun1+29, "")</f>
        <v>42765</v>
      </c>
      <c r="D11" s="6">
        <f>IF(AND(YEAR(JanSun1+30)=CalendarYear,MONTH(JanSun1+30)=1),JanSun1+30, "")</f>
        <v>42766</v>
      </c>
      <c r="E11" s="6" t="str">
        <f>IF(AND(YEAR(JanSun1+31)=CalendarYear,MONTH(JanSun1+31)=1),JanSun1+31, "")</f>
        <v/>
      </c>
      <c r="F11" s="6" t="str">
        <f>IF(AND(YEAR(JanSun1+32)=CalendarYear,MONTH(JanSun1+32)=1),JanSun1+32, "")</f>
        <v/>
      </c>
      <c r="G11" s="6" t="str">
        <f>IF(AND(YEAR(JanSun1+33)=CalendarYear,MONTH(JanSun1+33)=1),JanSun1+33, "")</f>
        <v/>
      </c>
      <c r="H11" s="13" t="str">
        <f>IF(AND(YEAR(JanSun1+34)=CalendarYear,MONTH(JanSun1+34)=1),JanSun1+34, "")</f>
        <v/>
      </c>
    </row>
    <row r="12" spans="1:11" ht="72" customHeight="1">
      <c r="B12" s="32" t="s">
        <v>85</v>
      </c>
      <c r="C12" s="24" t="s">
        <v>18</v>
      </c>
      <c r="D12" s="25"/>
      <c r="E12" s="25"/>
      <c r="F12" s="24"/>
      <c r="G12" s="24"/>
      <c r="H12" s="29"/>
    </row>
    <row r="13" spans="1:11" ht="14" customHeight="1">
      <c r="B13" s="12" t="str">
        <f>IF(AND(YEAR(JanSun1+35)=CalendarYear,MONTH(JanSun1+35)=1),JanSun1+35, "")</f>
        <v/>
      </c>
      <c r="C13" s="6" t="str">
        <f>IF(AND(YEAR(JanSun1+36)=CalendarYear,MONTH(JanSun1+36)=1),JanSun1+36, "")</f>
        <v/>
      </c>
      <c r="D13" s="39" t="s">
        <v>8</v>
      </c>
      <c r="E13" s="39"/>
      <c r="F13" s="39"/>
      <c r="G13" s="39"/>
      <c r="H13" s="40"/>
    </row>
    <row r="14" spans="1:11" ht="72" customHeight="1" thickBot="1">
      <c r="B14" s="30"/>
      <c r="C14" s="30"/>
      <c r="D14" s="36" t="s">
        <v>13</v>
      </c>
      <c r="E14" s="37"/>
      <c r="F14" s="37"/>
      <c r="G14" s="37"/>
      <c r="H14" s="38"/>
    </row>
  </sheetData>
  <mergeCells count="3">
    <mergeCell ref="B1:H1"/>
    <mergeCell ref="D14:H14"/>
    <mergeCell ref="D13:H13"/>
  </mergeCells>
  <phoneticPr fontId="1" type="noConversion"/>
  <dataValidations count="1">
    <dataValidation type="list" allowBlank="1" showInputMessage="1" showErrorMessage="1" sqref="K1">
      <formula1>Year</formula1>
    </dataValidation>
  </dataValidations>
  <printOptions horizontalCentered="1"/>
  <pageMargins left="0.5" right="0.5" top="0.75" bottom="0.75" header="0.5" footer="0.5"/>
  <pageSetup orientation="portrait" horizontalDpi="4294967292" verticalDpi="4294967292"/>
  <headerFooter alignWithMargins="0"/>
  <customProperties>
    <customPr name="SheetChanged" r:id="rId1"/>
  </customPropertie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DATE(CalendarYear,2,1)</f>
        <v>42767</v>
      </c>
      <c r="C1" s="35"/>
      <c r="D1" s="35"/>
      <c r="E1" s="35"/>
      <c r="F1" s="35"/>
      <c r="G1" s="35"/>
      <c r="H1" s="35"/>
    </row>
    <row r="2" spans="1:8" s="3" customFormat="1" ht="14" customHeight="1">
      <c r="A2" s="2"/>
      <c r="B2" s="17" t="s">
        <v>0</v>
      </c>
      <c r="C2" s="18" t="s">
        <v>1</v>
      </c>
      <c r="D2" s="18" t="s">
        <v>2</v>
      </c>
      <c r="E2" s="18" t="s">
        <v>3</v>
      </c>
      <c r="F2" s="18" t="s">
        <v>4</v>
      </c>
      <c r="G2" s="18" t="s">
        <v>5</v>
      </c>
      <c r="H2" s="19" t="s">
        <v>6</v>
      </c>
    </row>
    <row r="3" spans="1:8" ht="14" customHeight="1">
      <c r="B3" s="9" t="str">
        <f>IF(AND(YEAR(FebSun1)=CalendarYear,MONTH(FebSun1)=2),FebSun1, "")</f>
        <v/>
      </c>
      <c r="C3" s="5" t="str">
        <f>IF(AND(YEAR(FebSun1+1)=CalendarYear,MONTH(FebSun1+1)=2),FebSun1+1, "")</f>
        <v/>
      </c>
      <c r="D3" s="5" t="str">
        <f>IF(AND(YEAR(FebSun1+2)=CalendarYear,MONTH(FebSun1+2)=2),FebSun1+2, "")</f>
        <v/>
      </c>
      <c r="E3" s="5">
        <f>IF(AND(YEAR(FebSun1+3)=CalendarYear,MONTH(FebSun1+3)=2),FebSun1+3, "")</f>
        <v>42767</v>
      </c>
      <c r="F3" s="5">
        <f>IF(AND(YEAR(FebSun1+4)=CalendarYear,MONTH(FebSun1+4)=2),FebSun1+4, "")</f>
        <v>42768</v>
      </c>
      <c r="G3" s="5">
        <f>IF(AND(YEAR(FebSun1+5)=CalendarYear,MONTH(FebSun1+5)=2),FebSun1+5, "")</f>
        <v>42769</v>
      </c>
      <c r="H3" s="10">
        <f>IF(AND(YEAR(FebSun1+6)=CalendarYear,MONTH(FebSun1+6)=2),FebSun1+6, "")</f>
        <v>42770</v>
      </c>
    </row>
    <row r="4" spans="1:8" ht="72" customHeight="1">
      <c r="B4" s="28"/>
      <c r="C4" s="24"/>
      <c r="D4" s="25"/>
      <c r="E4" s="25" t="s">
        <v>50</v>
      </c>
      <c r="F4" s="25"/>
      <c r="G4" s="25" t="s">
        <v>49</v>
      </c>
      <c r="H4" s="29"/>
    </row>
    <row r="5" spans="1:8" ht="14" customHeight="1">
      <c r="B5" s="11">
        <f>IF(AND(YEAR(FebSun1+7)=CalendarYear,MONTH(FebSun1+7)=2),FebSun1+7, "")</f>
        <v>42771</v>
      </c>
      <c r="C5" s="5">
        <f>IF(AND(YEAR(FebSun1+8)=CalendarYear,MONTH(FebSun1+8)=2),FebSun1+8, "")</f>
        <v>42772</v>
      </c>
      <c r="D5" s="5">
        <f>IF(AND(YEAR(FebSun1+9)=CalendarYear,MONTH(FebSun1+9)=2),FebSun1+9, "")</f>
        <v>42773</v>
      </c>
      <c r="E5" s="5">
        <f>IF(AND(YEAR(FebSun1+10)=CalendarYear,MONTH(FebSun1+10)=2),FebSun1+10, "")</f>
        <v>42774</v>
      </c>
      <c r="F5" s="5">
        <f>IF(AND(YEAR(FebSun1+11)=CalendarYear,MONTH(FebSun1+11)=2),FebSun1+11, "")</f>
        <v>42775</v>
      </c>
      <c r="G5" s="5">
        <f>IF(AND(YEAR(FebSun1+12)=CalendarYear,MONTH(FebSun1+12)=2),FebSun1+12,"")</f>
        <v>42776</v>
      </c>
      <c r="H5" s="10">
        <f>IF(AND(YEAR(FebSun1+13)=CalendarYear,MONTH(FebSun1+13)=2),FebSun1+13, "")</f>
        <v>42777</v>
      </c>
    </row>
    <row r="6" spans="1:8" ht="72" customHeight="1">
      <c r="B6" s="32" t="s">
        <v>77</v>
      </c>
      <c r="C6" s="24" t="s">
        <v>19</v>
      </c>
      <c r="D6" s="25"/>
      <c r="E6" s="25" t="s">
        <v>50</v>
      </c>
      <c r="F6" s="25"/>
      <c r="G6" s="25" t="s">
        <v>49</v>
      </c>
      <c r="H6" s="29"/>
    </row>
    <row r="7" spans="1:8" ht="14" customHeight="1">
      <c r="B7" s="11">
        <f>IF(AND(YEAR(FebSun1+14)=CalendarYear,MONTH(FebSun1+14)=2),FebSun1+14, "")</f>
        <v>42778</v>
      </c>
      <c r="C7" s="5">
        <f>IF(AND(YEAR(FebSun1+15)=CalendarYear,MONTH(FebSun1+15)=2),FebSun1+15, "")</f>
        <v>42779</v>
      </c>
      <c r="D7" s="5">
        <f>IF(AND(YEAR(FebSun1+16)=CalendarYear,MONTH(FebSun1+16)=2),FebSun1+16, "")</f>
        <v>42780</v>
      </c>
      <c r="E7" s="5">
        <f>IF(AND(YEAR(FebSun1+17)=CalendarYear,MONTH(FebSun1+17)=2),FebSun1+17, "")</f>
        <v>42781</v>
      </c>
      <c r="F7" s="5">
        <f>IF(AND(YEAR(FebSun1+18)=CalendarYear,MONTH(FebSun1+18)=2),FebSun1+18, "")</f>
        <v>42782</v>
      </c>
      <c r="G7" s="5">
        <f>IF(AND(YEAR(FebSun1+19)=CalendarYear,MONTH(FebSun1+19)=2),FebSun1+19, "")</f>
        <v>42783</v>
      </c>
      <c r="H7" s="10">
        <f>IF(AND(YEAR(FebSun1+20)=CalendarYear,MONTH(FebSun1+20)=2),FebSun1+20, "")</f>
        <v>42784</v>
      </c>
    </row>
    <row r="8" spans="1:8" ht="72" customHeight="1">
      <c r="B8" s="32" t="s">
        <v>78</v>
      </c>
      <c r="C8" s="24" t="s">
        <v>20</v>
      </c>
      <c r="D8" s="25"/>
      <c r="E8" s="25" t="s">
        <v>50</v>
      </c>
      <c r="F8" s="25"/>
      <c r="G8" s="25" t="s">
        <v>49</v>
      </c>
      <c r="H8" s="29"/>
    </row>
    <row r="9" spans="1:8" ht="14" customHeight="1">
      <c r="B9" s="12">
        <f>IF(AND(YEAR(FebSun1+21)=CalendarYear,MONTH(FebSun1+21)=2),FebSun1+21, "")</f>
        <v>42785</v>
      </c>
      <c r="C9" s="6">
        <f>IF(AND(YEAR(FebSun1+22)=CalendarYear,MONTH(FebSun1+22)=2),FebSun1+22, "")</f>
        <v>42786</v>
      </c>
      <c r="D9" s="6">
        <f>IF(AND(YEAR(FebSun1+23)=CalendarYear,MONTH(FebSun1+23)=2),FebSun1+23, "")</f>
        <v>42787</v>
      </c>
      <c r="E9" s="6">
        <f>IF(AND(YEAR(FebSun1+24)=CalendarYear,MONTH(FebSun1+24)=2),FebSun1+24, "")</f>
        <v>42788</v>
      </c>
      <c r="F9" s="6">
        <f>IF(AND(YEAR(FebSun1+25)=CalendarYear,MONTH(FebSun1+25)=2),FebSun1+25, "")</f>
        <v>42789</v>
      </c>
      <c r="G9" s="6">
        <f>IF(AND(YEAR(FebSun1+26)=CalendarYear,MONTH(FebSun1+26)=2),FebSun1+26, "")</f>
        <v>42790</v>
      </c>
      <c r="H9" s="13">
        <f>IF(AND(YEAR(FebSun1+27)=CalendarYear,MONTH(FebSun1+27)=2),FebSun1+27, "")</f>
        <v>42791</v>
      </c>
    </row>
    <row r="10" spans="1:8" ht="72" customHeight="1">
      <c r="B10" s="32" t="s">
        <v>79</v>
      </c>
      <c r="C10" s="24" t="s">
        <v>21</v>
      </c>
      <c r="D10" s="25"/>
      <c r="E10" s="25" t="s">
        <v>50</v>
      </c>
      <c r="F10" s="25"/>
      <c r="G10" s="25" t="s">
        <v>49</v>
      </c>
      <c r="H10" s="29"/>
    </row>
    <row r="11" spans="1:8" ht="14" customHeight="1">
      <c r="B11" s="12">
        <f>IF(AND(YEAR(FebSun1+28)=CalendarYear,MONTH(FebSun1+28)=2),FebSun1+28, "")</f>
        <v>42792</v>
      </c>
      <c r="C11" s="6">
        <f>IF(AND(YEAR(FebSun1+29)=CalendarYear,MONTH(FebSun1+29)=2),FebSun1+29, "")</f>
        <v>42793</v>
      </c>
      <c r="D11" s="6">
        <f>IF(AND(YEAR(FebSun1+30)=CalendarYear,MONTH(FebSun1+30)=2),FebSun1+30, "")</f>
        <v>42794</v>
      </c>
      <c r="E11" s="6" t="str">
        <f>IF(AND(YEAR(FebSun1+31)=CalendarYear,MONTH(FebSun1+31)=2),FebSun1+31, "")</f>
        <v/>
      </c>
      <c r="F11" s="6" t="str">
        <f>IF(AND(YEAR(FebSun1+32)=CalendarYear,MONTH(FebSun1+32)=2),FebSun1+32, "")</f>
        <v/>
      </c>
      <c r="G11" s="6" t="str">
        <f>IF(AND(YEAR(FebSun1+33)=CalendarYear,MONTH(FebSun1+33)=2),FebSun1+33, "")</f>
        <v/>
      </c>
      <c r="H11" s="13" t="str">
        <f>IF(AND(YEAR(FebSun1+34)=CalendarYear,MONTH(FebSun1+34)=2),FebSun1+34, "")</f>
        <v/>
      </c>
    </row>
    <row r="12" spans="1:8" ht="72" customHeight="1">
      <c r="B12" s="32" t="s">
        <v>80</v>
      </c>
      <c r="C12" s="24" t="s">
        <v>22</v>
      </c>
      <c r="D12" s="25"/>
      <c r="E12" s="25"/>
      <c r="F12" s="24"/>
      <c r="G12" s="24"/>
      <c r="H12" s="29"/>
    </row>
    <row r="13" spans="1:8" ht="14" customHeight="1">
      <c r="B13" s="42" t="s">
        <v>8</v>
      </c>
      <c r="C13" s="43"/>
      <c r="D13" s="43"/>
      <c r="E13" s="43"/>
      <c r="F13" s="43"/>
      <c r="G13" s="43"/>
      <c r="H13" s="44"/>
    </row>
    <row r="14" spans="1:8" ht="72" customHeight="1" thickBot="1">
      <c r="B14" s="41" t="s">
        <v>12</v>
      </c>
      <c r="C14" s="37"/>
      <c r="D14" s="37"/>
      <c r="E14" s="37"/>
      <c r="F14" s="37"/>
      <c r="G14" s="37"/>
      <c r="H14" s="38"/>
    </row>
  </sheetData>
  <mergeCells count="3">
    <mergeCell ref="B1:H1"/>
    <mergeCell ref="B14:H14"/>
    <mergeCell ref="B13:H13"/>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9" s="1" customFormat="1" ht="72" customHeight="1" thickBot="1">
      <c r="B1" s="35">
        <f>DATE(CalendarYear,3,1)</f>
        <v>42795</v>
      </c>
      <c r="C1" s="35"/>
      <c r="D1" s="35"/>
      <c r="E1" s="35"/>
      <c r="F1" s="35"/>
      <c r="G1" s="35"/>
      <c r="H1" s="35"/>
    </row>
    <row r="2" spans="1:9" s="3" customFormat="1" ht="14" customHeight="1">
      <c r="A2" s="2"/>
      <c r="B2" s="14" t="s">
        <v>0</v>
      </c>
      <c r="C2" s="15" t="s">
        <v>1</v>
      </c>
      <c r="D2" s="15" t="s">
        <v>2</v>
      </c>
      <c r="E2" s="15" t="s">
        <v>3</v>
      </c>
      <c r="F2" s="15" t="s">
        <v>4</v>
      </c>
      <c r="G2" s="15" t="s">
        <v>5</v>
      </c>
      <c r="H2" s="16" t="s">
        <v>6</v>
      </c>
    </row>
    <row r="3" spans="1:9" ht="14" customHeight="1">
      <c r="B3" s="9" t="str">
        <f>IF(AND(YEAR(MarSun1)=CalendarYear,MONTH(MarSun1)=3),MarSun1, "")</f>
        <v/>
      </c>
      <c r="C3" s="5" t="str">
        <f>IF(AND(YEAR(MarSun1+1)=CalendarYear,MONTH(MarSun1+1)=3),MarSun1+1, "")</f>
        <v/>
      </c>
      <c r="D3" s="5" t="str">
        <f>IF(AND(YEAR(MarSun1+2)=CalendarYear,MONTH(MarSun1+2)=3),MarSun1+2, "")</f>
        <v/>
      </c>
      <c r="E3" s="5">
        <f>IF(AND(YEAR(MarSun1+3)=CalendarYear,MONTH(MarSun1+3)=3),MarSun1+3, "")</f>
        <v>42795</v>
      </c>
      <c r="F3" s="5">
        <f>IF(AND(YEAR(MarSun1+4)=CalendarYear,MONTH(MarSun1+4)=3),MarSun1+4, "")</f>
        <v>42796</v>
      </c>
      <c r="G3" s="5">
        <f>IF(AND(YEAR(MarSun1+5)=CalendarYear,MONTH(MarSun1+5)=3),MarSun1+5, "")</f>
        <v>42797</v>
      </c>
      <c r="H3" s="10">
        <f>IF(AND(YEAR(MarSun1+6)=CalendarYear,MONTH(MarSun1+6)=3),MarSun1+6, "")</f>
        <v>42798</v>
      </c>
    </row>
    <row r="4" spans="1:9" ht="72" customHeight="1">
      <c r="B4" s="28"/>
      <c r="C4" s="24"/>
      <c r="D4" s="25"/>
      <c r="E4" s="25" t="s">
        <v>50</v>
      </c>
      <c r="F4" s="25"/>
      <c r="G4" s="25" t="s">
        <v>49</v>
      </c>
      <c r="H4" s="29"/>
    </row>
    <row r="5" spans="1:9" ht="14" customHeight="1">
      <c r="B5" s="11">
        <f>IF(AND(YEAR(MarSun1+7)=CalendarYear,MONTH(MarSun1+7)=3),MarSun1+7, "")</f>
        <v>42799</v>
      </c>
      <c r="C5" s="5">
        <f>IF(AND(YEAR(MarSun1+8)=CalendarYear,MONTH(MarSun1+8)=3),MarSun1+8, "")</f>
        <v>42800</v>
      </c>
      <c r="D5" s="5">
        <f>IF(AND(YEAR(MarSun1+9)=CalendarYear,MONTH(MarSun1+9)=3),MarSun1+9, "")</f>
        <v>42801</v>
      </c>
      <c r="E5" s="5">
        <f>IF(AND(YEAR(MarSun1+10)=CalendarYear,MONTH(MarSun1+10)=3),MarSun1+10, "")</f>
        <v>42802</v>
      </c>
      <c r="F5" s="5">
        <f>IF(AND(YEAR(MarSun1+11)=CalendarYear,MONTH(MarSun1+11)=3),MarSun1+11, "")</f>
        <v>42803</v>
      </c>
      <c r="G5" s="5">
        <f>IF(AND(YEAR(MarSun1+12)=CalendarYear,MONTH(MarSun1+12)=3),MarSun1+12,"")</f>
        <v>42804</v>
      </c>
      <c r="H5" s="10">
        <f>IF(AND(YEAR(MarSun1+13)=CalendarYear,MONTH(MarSun1+13)=3),MarSun1+13, "")</f>
        <v>42805</v>
      </c>
    </row>
    <row r="6" spans="1:9" ht="72" customHeight="1">
      <c r="B6" s="32" t="s">
        <v>73</v>
      </c>
      <c r="C6" s="24" t="s">
        <v>23</v>
      </c>
      <c r="D6" s="25"/>
      <c r="E6" s="25" t="s">
        <v>50</v>
      </c>
      <c r="F6" s="25"/>
      <c r="G6" s="25" t="s">
        <v>49</v>
      </c>
      <c r="H6" s="29"/>
    </row>
    <row r="7" spans="1:9" ht="14" customHeight="1">
      <c r="B7" s="11">
        <f>IF(AND(YEAR(MarSun1+14)=CalendarYear,MONTH(MarSun1+14)=3),MarSun1+14, "")</f>
        <v>42806</v>
      </c>
      <c r="C7" s="5">
        <f>IF(AND(YEAR(MarSun1+15)=CalendarYear,MONTH(MarSun1+15)=3),MarSun1+15, "")</f>
        <v>42807</v>
      </c>
      <c r="D7" s="5">
        <f>IF(AND(YEAR(MarSun1+16)=CalendarYear,MONTH(MarSun1+16)=3),MarSun1+16, "")</f>
        <v>42808</v>
      </c>
      <c r="E7" s="5">
        <f>IF(AND(YEAR(MarSun1+17)=CalendarYear,MONTH(MarSun1+17)=3),MarSun1+17, "")</f>
        <v>42809</v>
      </c>
      <c r="F7" s="5">
        <f>IF(AND(YEAR(MarSun1+18)=CalendarYear,MONTH(MarSun1+18)=3),MarSun1+18, "")</f>
        <v>42810</v>
      </c>
      <c r="G7" s="5">
        <f>IF(AND(YEAR(MarSun1+19)=CalendarYear,MONTH(MarSun1+19)=3),MarSun1+19, "")</f>
        <v>42811</v>
      </c>
      <c r="H7" s="10">
        <f>IF(AND(YEAR(MarSun1+20)=CalendarYear,MONTH(MarSun1+20)=3),MarSun1+20, "")</f>
        <v>42812</v>
      </c>
    </row>
    <row r="8" spans="1:9" ht="72" customHeight="1">
      <c r="B8" s="32" t="s">
        <v>74</v>
      </c>
      <c r="C8" s="24" t="s">
        <v>24</v>
      </c>
      <c r="D8" s="25"/>
      <c r="E8" s="25" t="s">
        <v>50</v>
      </c>
      <c r="F8" s="25"/>
      <c r="G8" s="25" t="s">
        <v>49</v>
      </c>
      <c r="H8" s="29"/>
    </row>
    <row r="9" spans="1:9" ht="14" customHeight="1">
      <c r="B9" s="12">
        <f>IF(AND(YEAR(MarSun1+21)=CalendarYear,MONTH(MarSun1+21)=3),MarSun1+21, "")</f>
        <v>42813</v>
      </c>
      <c r="C9" s="6">
        <f>IF(AND(YEAR(MarSun1+22)=CalendarYear,MONTH(MarSun1+22)=3),MarSun1+22, "")</f>
        <v>42814</v>
      </c>
      <c r="D9" s="6">
        <f>IF(AND(YEAR(MarSun1+23)=CalendarYear,MONTH(MarSun1+23)=3),MarSun1+23, "")</f>
        <v>42815</v>
      </c>
      <c r="E9" s="6">
        <f>IF(AND(YEAR(MarSun1+24)=CalendarYear,MONTH(MarSun1+24)=3),MarSun1+24, "")</f>
        <v>42816</v>
      </c>
      <c r="F9" s="6">
        <f>IF(AND(YEAR(MarSun1+25)=CalendarYear,MONTH(MarSun1+25)=3),MarSun1+25, "")</f>
        <v>42817</v>
      </c>
      <c r="G9" s="6">
        <f>IF(AND(YEAR(MarSun1+26)=CalendarYear,MONTH(MarSun1+26)=3),MarSun1+26, "")</f>
        <v>42818</v>
      </c>
      <c r="H9" s="13">
        <f>IF(AND(YEAR(MarSun1+27)=CalendarYear,MONTH(MarSun1+27)=3),MarSun1+27, "")</f>
        <v>42819</v>
      </c>
    </row>
    <row r="10" spans="1:9" ht="72" customHeight="1">
      <c r="B10" s="32" t="s">
        <v>75</v>
      </c>
      <c r="C10" s="24" t="s">
        <v>25</v>
      </c>
      <c r="D10" s="25"/>
      <c r="E10" s="25" t="s">
        <v>50</v>
      </c>
      <c r="F10" s="25"/>
      <c r="G10" s="25" t="s">
        <v>49</v>
      </c>
      <c r="H10" s="29"/>
    </row>
    <row r="11" spans="1:9" ht="14" customHeight="1">
      <c r="B11" s="12">
        <f>IF(AND(YEAR(MarSun1+28)=CalendarYear,MONTH(MarSun1+28)=3),MarSun1+28, "")</f>
        <v>42820</v>
      </c>
      <c r="C11" s="6">
        <f>IF(AND(YEAR(MarSun1+29)=CalendarYear,MONTH(MarSun1+29)=3),MarSun1+29, "")</f>
        <v>42821</v>
      </c>
      <c r="D11" s="6">
        <f>IF(AND(YEAR(MarSun1+30)=CalendarYear,MONTH(MarSun1+30)=3),MarSun1+30, "")</f>
        <v>42822</v>
      </c>
      <c r="E11" s="6">
        <f>IF(AND(YEAR(MarSun1+31)=CalendarYear,MONTH(MarSun1+31)=3),MarSun1+31, "")</f>
        <v>42823</v>
      </c>
      <c r="F11" s="6">
        <f>IF(AND(YEAR(MarSun1+32)=CalendarYear,MONTH(MarSun1+32)=3),MarSun1+32, "")</f>
        <v>42824</v>
      </c>
      <c r="G11" s="6">
        <f>IF(AND(YEAR(MarSun1+33)=CalendarYear,MONTH(MarSun1+33)=3),MarSun1+33, "")</f>
        <v>42825</v>
      </c>
      <c r="H11" s="13" t="str">
        <f>IF(AND(YEAR(MarSun1+34)=CalendarYear,MONTH(MarSun1+34)=3),MarSun1+34, "")</f>
        <v/>
      </c>
    </row>
    <row r="12" spans="1:9" ht="72" customHeight="1">
      <c r="B12" s="32" t="s">
        <v>76</v>
      </c>
      <c r="C12" s="24" t="s">
        <v>26</v>
      </c>
      <c r="D12" s="25"/>
      <c r="E12" s="25" t="s">
        <v>50</v>
      </c>
      <c r="F12" s="24"/>
      <c r="G12" s="25" t="s">
        <v>49</v>
      </c>
      <c r="H12" s="29"/>
    </row>
    <row r="13" spans="1:9" ht="14" customHeight="1">
      <c r="B13" s="12" t="str">
        <f>IF(AND(YEAR(MarSun1+35)=CalendarYear,MONTH(MarSun1+35)=3),MarSun1+35, "")</f>
        <v/>
      </c>
      <c r="C13" s="6" t="str">
        <f>IF(AND(YEAR(MarSun1+36)=CalendarYear,MONTH(MarSun1+36)=3),MarSun1+36, "")</f>
        <v/>
      </c>
      <c r="D13" s="39" t="s">
        <v>8</v>
      </c>
      <c r="E13" s="39"/>
      <c r="F13" s="39"/>
      <c r="G13" s="39"/>
      <c r="H13" s="40"/>
    </row>
    <row r="14" spans="1:9" ht="72" customHeight="1" thickBot="1">
      <c r="B14" s="31"/>
      <c r="C14" s="31"/>
      <c r="D14" s="45" t="s">
        <v>11</v>
      </c>
      <c r="E14" s="46"/>
      <c r="F14" s="46"/>
      <c r="G14" s="46"/>
      <c r="H14" s="46"/>
      <c r="I14" s="47"/>
    </row>
  </sheetData>
  <mergeCells count="3">
    <mergeCell ref="B1:H1"/>
    <mergeCell ref="D13:H13"/>
    <mergeCell ref="D14:I14"/>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DATE(CalendarYear,4,1)</f>
        <v>42826</v>
      </c>
      <c r="C1" s="35"/>
      <c r="D1" s="35"/>
      <c r="E1" s="35"/>
      <c r="F1" s="35"/>
      <c r="G1" s="35"/>
      <c r="H1" s="35"/>
    </row>
    <row r="2" spans="1:8" s="3" customFormat="1" ht="14" customHeight="1">
      <c r="A2" s="2"/>
      <c r="B2" s="17" t="s">
        <v>0</v>
      </c>
      <c r="C2" s="18" t="s">
        <v>1</v>
      </c>
      <c r="D2" s="18" t="s">
        <v>2</v>
      </c>
      <c r="E2" s="18" t="s">
        <v>3</v>
      </c>
      <c r="F2" s="18" t="s">
        <v>4</v>
      </c>
      <c r="G2" s="18" t="s">
        <v>5</v>
      </c>
      <c r="H2" s="19" t="s">
        <v>6</v>
      </c>
    </row>
    <row r="3" spans="1:8" ht="14" customHeight="1">
      <c r="B3" s="9" t="str">
        <f>IF(AND(YEAR(AprSun1)=CalendarYear,MONTH(AprSun1)=4),AprSun1, "")</f>
        <v/>
      </c>
      <c r="C3" s="5" t="str">
        <f>IF(AND(YEAR(AprSun1+1)=CalendarYear,MONTH(AprSun1+1)=4),AprSun1+1, "")</f>
        <v/>
      </c>
      <c r="D3" s="5" t="str">
        <f>IF(AND(YEAR(AprSun1+2)=CalendarYear,MONTH(AprSun1+2)=4),AprSun1+2, "")</f>
        <v/>
      </c>
      <c r="E3" s="5" t="str">
        <f>IF(AND(YEAR(AprSun1+3)=CalendarYear,MONTH(AprSun1+3)=4),AprSun1+3, "")</f>
        <v/>
      </c>
      <c r="F3" s="5" t="str">
        <f>IF(AND(YEAR(AprSun1+4)=CalendarYear,MONTH(AprSun1+4)=4),AprSun1+4, "")</f>
        <v/>
      </c>
      <c r="G3" s="5" t="str">
        <f>IF(AND(YEAR(AprSun1+5)=CalendarYear,MONTH(AprSun1+5)=4),AprSun1+5, "")</f>
        <v/>
      </c>
      <c r="H3" s="10">
        <f>IF(AND(YEAR(AprSun1+6)=CalendarYear,MONTH(AprSun1+6)=4),AprSun1+6, "")</f>
        <v>42826</v>
      </c>
    </row>
    <row r="4" spans="1:8" ht="72" customHeight="1">
      <c r="B4" s="28"/>
      <c r="C4" s="24"/>
      <c r="D4" s="25"/>
      <c r="E4" s="25"/>
      <c r="F4" s="25"/>
      <c r="G4" s="25"/>
      <c r="H4" s="29"/>
    </row>
    <row r="5" spans="1:8" ht="14" customHeight="1">
      <c r="B5" s="11">
        <f>IF(AND(YEAR(AprSun1+7)=CalendarYear,MONTH(AprSun1+7)=4),AprSun1+7, "")</f>
        <v>42827</v>
      </c>
      <c r="C5" s="5">
        <f>IF(AND(YEAR(AprSun1+8)=CalendarYear,MONTH(AprSun1+8)=4),AprSun1+8, "")</f>
        <v>42828</v>
      </c>
      <c r="D5" s="5">
        <f>IF(AND(YEAR(AprSun1+9)=CalendarYear,MONTH(AprSun1+9)=4),AprSun1+9, "")</f>
        <v>42829</v>
      </c>
      <c r="E5" s="5">
        <f>IF(AND(YEAR(AprSun1+10)=CalendarYear,MONTH(AprSun1+10)=4),AprSun1+10, "")</f>
        <v>42830</v>
      </c>
      <c r="F5" s="5">
        <f>IF(AND(YEAR(AprSun1+11)=CalendarYear,MONTH(AprSun1+11)=4),AprSun1+11, "")</f>
        <v>42831</v>
      </c>
      <c r="G5" s="5">
        <f>IF(AND(YEAR(AprSun1+12)=CalendarYear,MONTH(AprSun1+12)=4),AprSun1+12,"")</f>
        <v>42832</v>
      </c>
      <c r="H5" s="10">
        <f>IF(AND(YEAR(AprSun1+13)=CalendarYear,MONTH(AprSun1+13)=4),AprSun1+13, "")</f>
        <v>42833</v>
      </c>
    </row>
    <row r="6" spans="1:8" ht="72" customHeight="1">
      <c r="B6" s="32" t="s">
        <v>68</v>
      </c>
      <c r="C6" s="24" t="s">
        <v>27</v>
      </c>
      <c r="D6" s="25"/>
      <c r="E6" s="25" t="s">
        <v>50</v>
      </c>
      <c r="F6" s="25"/>
      <c r="G6" s="25" t="s">
        <v>49</v>
      </c>
      <c r="H6" s="29"/>
    </row>
    <row r="7" spans="1:8" ht="14" customHeight="1">
      <c r="B7" s="11">
        <f>IF(AND(YEAR(AprSun1+14)=CalendarYear,MONTH(AprSun1+14)=4),AprSun1+14, "")</f>
        <v>42834</v>
      </c>
      <c r="C7" s="5">
        <f>IF(AND(YEAR(AprSun1+15)=CalendarYear,MONTH(AprSun1+15)=4),AprSun1+15, "")</f>
        <v>42835</v>
      </c>
      <c r="D7" s="5">
        <f>IF(AND(YEAR(AprSun1+16)=CalendarYear,MONTH(AprSun1+16)=4),AprSun1+16, "")</f>
        <v>42836</v>
      </c>
      <c r="E7" s="5">
        <f>IF(AND(YEAR(AprSun1+17)=CalendarYear,MONTH(AprSun1+17)=4),AprSun1+17, "")</f>
        <v>42837</v>
      </c>
      <c r="F7" s="5">
        <f>IF(AND(YEAR(AprSun1+18)=CalendarYear,MONTH(AprSun1+18)=4),AprSun1+18, "")</f>
        <v>42838</v>
      </c>
      <c r="G7" s="5">
        <f>IF(AND(YEAR(AprSun1+19)=CalendarYear,MONTH(AprSun1+19)=4),AprSun1+19, "")</f>
        <v>42839</v>
      </c>
      <c r="H7" s="10">
        <f>IF(AND(YEAR(AprSun1+20)=CalendarYear,MONTH(AprSun1+20)=4),AprSun1+20, "")</f>
        <v>42840</v>
      </c>
    </row>
    <row r="8" spans="1:8" ht="72" customHeight="1">
      <c r="B8" s="32" t="s">
        <v>69</v>
      </c>
      <c r="C8" s="24" t="s">
        <v>28</v>
      </c>
      <c r="D8" s="25"/>
      <c r="E8" s="25" t="s">
        <v>50</v>
      </c>
      <c r="F8" s="25"/>
      <c r="G8" s="25" t="s">
        <v>49</v>
      </c>
      <c r="H8" s="29"/>
    </row>
    <row r="9" spans="1:8" ht="14" customHeight="1">
      <c r="B9" s="12">
        <f>IF(AND(YEAR(AprSun1+21)=CalendarYear,MONTH(AprSun1+21)=4),AprSun1+21, "")</f>
        <v>42841</v>
      </c>
      <c r="C9" s="6">
        <f>IF(AND(YEAR(AprSun1+22)=CalendarYear,MONTH(AprSun1+22)=4),AprSun1+22, "")</f>
        <v>42842</v>
      </c>
      <c r="D9" s="6">
        <f>IF(AND(YEAR(AprSun1+23)=CalendarYear,MONTH(AprSun1+23)=4),AprSun1+23, "")</f>
        <v>42843</v>
      </c>
      <c r="E9" s="6">
        <f>IF(AND(YEAR(AprSun1+24)=CalendarYear,MONTH(AprSun1+24)=4),AprSun1+24, "")</f>
        <v>42844</v>
      </c>
      <c r="F9" s="6">
        <f>IF(AND(YEAR(AprSun1+25)=CalendarYear,MONTH(AprSun1+25)=4),AprSun1+25, "")</f>
        <v>42845</v>
      </c>
      <c r="G9" s="6">
        <f>IF(AND(YEAR(AprSun1+26)=CalendarYear,MONTH(AprSun1+26)=4),AprSun1+26, "")</f>
        <v>42846</v>
      </c>
      <c r="H9" s="13">
        <f>IF(AND(YEAR(AprSun1+27)=CalendarYear,MONTH(AprSun1+27)=4),AprSun1+27, "")</f>
        <v>42847</v>
      </c>
    </row>
    <row r="10" spans="1:8" ht="72" customHeight="1">
      <c r="B10" s="32" t="s">
        <v>70</v>
      </c>
      <c r="C10" s="24" t="s">
        <v>29</v>
      </c>
      <c r="D10" s="25"/>
      <c r="E10" s="25" t="s">
        <v>50</v>
      </c>
      <c r="F10" s="25"/>
      <c r="G10" s="25" t="s">
        <v>49</v>
      </c>
      <c r="H10" s="29"/>
    </row>
    <row r="11" spans="1:8" ht="14" customHeight="1">
      <c r="B11" s="12">
        <f>IF(AND(YEAR(AprSun1+28)=CalendarYear,MONTH(AprSun1+28)=4),AprSun1+28, "")</f>
        <v>42848</v>
      </c>
      <c r="C11" s="6">
        <f>IF(AND(YEAR(AprSun1+29)=CalendarYear,MONTH(AprSun1+29)=4),AprSun1+29, "")</f>
        <v>42849</v>
      </c>
      <c r="D11" s="6">
        <f>IF(AND(YEAR(AprSun1+30)=CalendarYear,MONTH(AprSun1+30)=4),AprSun1+30, "")</f>
        <v>42850</v>
      </c>
      <c r="E11" s="6">
        <f>IF(AND(YEAR(AprSun1+31)=CalendarYear,MONTH(AprSun1+31)=4),AprSun1+31, "")</f>
        <v>42851</v>
      </c>
      <c r="F11" s="6">
        <f>IF(AND(YEAR(AprSun1+32)=CalendarYear,MONTH(AprSun1+32)=4),AprSun1+32, "")</f>
        <v>42852</v>
      </c>
      <c r="G11" s="6">
        <f>IF(AND(YEAR(AprSun1+33)=CalendarYear,MONTH(AprSun1+33)=4),AprSun1+33, "")</f>
        <v>42853</v>
      </c>
      <c r="H11" s="13">
        <f>IF(AND(YEAR(AprSun1+34)=CalendarYear,MONTH(AprSun1+34)=4),AprSun1+34, "")</f>
        <v>42854</v>
      </c>
    </row>
    <row r="12" spans="1:8" ht="72" customHeight="1">
      <c r="B12" s="32" t="s">
        <v>71</v>
      </c>
      <c r="C12" s="24" t="s">
        <v>30</v>
      </c>
      <c r="D12" s="25"/>
      <c r="E12" s="25" t="s">
        <v>50</v>
      </c>
      <c r="F12" s="24"/>
      <c r="G12" s="25" t="s">
        <v>49</v>
      </c>
      <c r="H12" s="29"/>
    </row>
    <row r="13" spans="1:8" ht="14" customHeight="1">
      <c r="B13" s="12">
        <f>IF(AND(YEAR(AprSun1+35)=CalendarYear,MONTH(AprSun1+35)=4),AprSun1+35, "")</f>
        <v>42855</v>
      </c>
      <c r="C13" s="39" t="s">
        <v>9</v>
      </c>
      <c r="D13" s="39"/>
      <c r="E13" s="39"/>
      <c r="F13" s="39"/>
      <c r="G13" s="39"/>
      <c r="H13" s="40"/>
    </row>
    <row r="14" spans="1:8" ht="72" customHeight="1" thickBot="1">
      <c r="B14" s="33" t="s">
        <v>72</v>
      </c>
      <c r="C14" s="45" t="s">
        <v>11</v>
      </c>
      <c r="D14" s="46"/>
      <c r="E14" s="46"/>
      <c r="F14" s="46"/>
      <c r="G14" s="46"/>
      <c r="H14" s="47"/>
    </row>
  </sheetData>
  <mergeCells count="3">
    <mergeCell ref="B1:H1"/>
    <mergeCell ref="C13:H13"/>
    <mergeCell ref="C14:H14"/>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14"/>
  <sheetViews>
    <sheetView showGridLines="0" workbookViewId="0">
      <selection activeCell="A13" activeCellId="5" sqref="A2: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9" s="1" customFormat="1" ht="72" customHeight="1" thickBot="1">
      <c r="B1" s="35">
        <f>DATE(CalendarYear,5,1)</f>
        <v>42856</v>
      </c>
      <c r="C1" s="35"/>
      <c r="D1" s="35"/>
      <c r="E1" s="35"/>
      <c r="F1" s="35"/>
      <c r="G1" s="35"/>
      <c r="H1" s="35"/>
    </row>
    <row r="2" spans="1:9" s="3" customFormat="1" ht="14" customHeight="1">
      <c r="A2" s="2"/>
      <c r="B2" s="17" t="s">
        <v>0</v>
      </c>
      <c r="C2" s="18" t="s">
        <v>1</v>
      </c>
      <c r="D2" s="18" t="s">
        <v>2</v>
      </c>
      <c r="E2" s="18" t="s">
        <v>3</v>
      </c>
      <c r="F2" s="18" t="s">
        <v>4</v>
      </c>
      <c r="G2" s="18" t="s">
        <v>5</v>
      </c>
      <c r="H2" s="19" t="s">
        <v>6</v>
      </c>
    </row>
    <row r="3" spans="1:9" ht="14" customHeight="1">
      <c r="B3" s="9" t="str">
        <f>IF(AND(YEAR(MaySun1)=CalendarYear,MONTH(MaySun1)=5),MaySun1, "")</f>
        <v/>
      </c>
      <c r="C3" s="5">
        <f>IF(AND(YEAR(MaySun1+1)=CalendarYear,MONTH(MaySun1+1)=5),MaySun1+1, "")</f>
        <v>42856</v>
      </c>
      <c r="D3" s="5">
        <f>IF(AND(YEAR(MaySun1+2)=CalendarYear,MONTH(MaySun1+2)=5),MaySun1+2, "")</f>
        <v>42857</v>
      </c>
      <c r="E3" s="5">
        <f>IF(AND(YEAR(MaySun1+3)=CalendarYear,MONTH(MaySun1+3)=5),MaySun1+3, "")</f>
        <v>42858</v>
      </c>
      <c r="F3" s="5">
        <f>IF(AND(YEAR(MaySun1+4)=CalendarYear,MONTH(MaySun1+4)=5),MaySun1+4, "")</f>
        <v>42859</v>
      </c>
      <c r="G3" s="5">
        <f>IF(AND(YEAR(MaySun1+5)=CalendarYear,MONTH(MaySun1+5)=5),MaySun1+5, "")</f>
        <v>42860</v>
      </c>
      <c r="H3" s="10">
        <f>IF(AND(YEAR(MaySun1+6)=CalendarYear,MONTH(MaySun1+6)=5),MaySun1+6, "")</f>
        <v>42861</v>
      </c>
    </row>
    <row r="4" spans="1:9" ht="72" customHeight="1">
      <c r="B4" s="28"/>
      <c r="C4" s="24" t="s">
        <v>31</v>
      </c>
      <c r="D4" s="25"/>
      <c r="E4" s="25" t="s">
        <v>50</v>
      </c>
      <c r="F4" s="25"/>
      <c r="G4" s="25" t="s">
        <v>49</v>
      </c>
      <c r="H4" s="29"/>
    </row>
    <row r="5" spans="1:9" ht="14" customHeight="1">
      <c r="B5" s="11">
        <f>IF(AND(YEAR(MaySun1+7)=CalendarYear,MONTH(MaySun1+7)=5),MaySun1+7, "")</f>
        <v>42862</v>
      </c>
      <c r="C5" s="5">
        <f>IF(AND(YEAR(MaySun1+8)=CalendarYear,MONTH(MaySun1+8)=5),MaySun1+8, "")</f>
        <v>42863</v>
      </c>
      <c r="D5" s="5">
        <f>IF(AND(YEAR(MaySun1+9)=CalendarYear,MONTH(MaySun1+9)=5),MaySun1+9, "")</f>
        <v>42864</v>
      </c>
      <c r="E5" s="5">
        <f>IF(AND(YEAR(MaySun1+10)=CalendarYear,MONTH(MaySun1+10)=5),MaySun1+10, "")</f>
        <v>42865</v>
      </c>
      <c r="F5" s="5">
        <f>IF(AND(YEAR(MaySun1+11)=CalendarYear,MONTH(MaySun1+11)=5),MaySun1+11, "")</f>
        <v>42866</v>
      </c>
      <c r="G5" s="5">
        <f>IF(AND(YEAR(MaySun1+12)=CalendarYear,MONTH(MaySun1+12)=5),MaySun1+12,"")</f>
        <v>42867</v>
      </c>
      <c r="H5" s="10">
        <f>IF(AND(YEAR(MaySun1+13)=CalendarYear,MONTH(MaySun1+13)=5),MaySun1+13, "")</f>
        <v>42868</v>
      </c>
    </row>
    <row r="6" spans="1:9" ht="72" customHeight="1">
      <c r="B6" s="32" t="s">
        <v>64</v>
      </c>
      <c r="C6" s="24" t="s">
        <v>32</v>
      </c>
      <c r="D6" s="25"/>
      <c r="E6" s="25" t="s">
        <v>50</v>
      </c>
      <c r="F6" s="25"/>
      <c r="G6" s="25" t="s">
        <v>49</v>
      </c>
      <c r="H6" s="29"/>
    </row>
    <row r="7" spans="1:9" ht="14" customHeight="1">
      <c r="B7" s="11">
        <f>IF(AND(YEAR(MaySun1+14)=CalendarYear,MONTH(MaySun1+14)=5),MaySun1+14, "")</f>
        <v>42869</v>
      </c>
      <c r="C7" s="5">
        <f>IF(AND(YEAR(MaySun1+15)=CalendarYear,MONTH(MaySun1+15)=5),MaySun1+15, "")</f>
        <v>42870</v>
      </c>
      <c r="D7" s="5">
        <f>IF(AND(YEAR(MaySun1+16)=CalendarYear,MONTH(MaySun1+16)=5),MaySun1+16, "")</f>
        <v>42871</v>
      </c>
      <c r="E7" s="5">
        <f>IF(AND(YEAR(MaySun1+17)=CalendarYear,MONTH(MaySun1+17)=5),MaySun1+17, "")</f>
        <v>42872</v>
      </c>
      <c r="F7" s="5">
        <f>IF(AND(YEAR(MaySun1+18)=CalendarYear,MONTH(MaySun1+18)=5),MaySun1+18, "")</f>
        <v>42873</v>
      </c>
      <c r="G7" s="5">
        <f>IF(AND(YEAR(MaySun1+19)=CalendarYear,MONTH(MaySun1+19)=5),MaySun1+19, "")</f>
        <v>42874</v>
      </c>
      <c r="H7" s="10">
        <f>IF(AND(YEAR(MaySun1+20)=CalendarYear,MONTH(MaySun1+20)=5),MaySun1+20, "")</f>
        <v>42875</v>
      </c>
    </row>
    <row r="8" spans="1:9" ht="72" customHeight="1">
      <c r="B8" s="32" t="s">
        <v>65</v>
      </c>
      <c r="C8" s="24" t="s">
        <v>33</v>
      </c>
      <c r="D8" s="25"/>
      <c r="E8" s="25" t="s">
        <v>50</v>
      </c>
      <c r="F8" s="25"/>
      <c r="G8" s="25" t="s">
        <v>49</v>
      </c>
      <c r="H8" s="29"/>
    </row>
    <row r="9" spans="1:9" ht="14" customHeight="1">
      <c r="B9" s="12">
        <f>IF(AND(YEAR(MaySun1+21)=CalendarYear,MONTH(MaySun1+21)=5),MaySun1+21, "")</f>
        <v>42876</v>
      </c>
      <c r="C9" s="6">
        <f>IF(AND(YEAR(MaySun1+22)=CalendarYear,MONTH(MaySun1+22)=5),MaySun1+22, "")</f>
        <v>42877</v>
      </c>
      <c r="D9" s="6">
        <f>IF(AND(YEAR(MaySun1+23)=CalendarYear,MONTH(MaySun1+23)=5),MaySun1+23, "")</f>
        <v>42878</v>
      </c>
      <c r="E9" s="6">
        <f>IF(AND(YEAR(MaySun1+24)=CalendarYear,MONTH(MaySun1+24)=5),MaySun1+24, "")</f>
        <v>42879</v>
      </c>
      <c r="F9" s="6">
        <f>IF(AND(YEAR(MaySun1+25)=CalendarYear,MONTH(MaySun1+25)=5),MaySun1+25, "")</f>
        <v>42880</v>
      </c>
      <c r="G9" s="6">
        <f>IF(AND(YEAR(MaySun1+26)=CalendarYear,MONTH(MaySun1+26)=5),MaySun1+26, "")</f>
        <v>42881</v>
      </c>
      <c r="H9" s="13">
        <f>IF(AND(YEAR(MaySun1+27)=CalendarYear,MONTH(MaySun1+27)=5),MaySun1+27, "")</f>
        <v>42882</v>
      </c>
    </row>
    <row r="10" spans="1:9" ht="72" customHeight="1">
      <c r="B10" s="34" t="s">
        <v>66</v>
      </c>
      <c r="C10" s="24" t="s">
        <v>34</v>
      </c>
      <c r="D10" s="25"/>
      <c r="E10" s="25" t="s">
        <v>50</v>
      </c>
      <c r="F10" s="25"/>
      <c r="G10" s="25" t="s">
        <v>49</v>
      </c>
      <c r="H10" s="29"/>
    </row>
    <row r="11" spans="1:9" ht="14" customHeight="1">
      <c r="B11" s="12">
        <f>IF(AND(YEAR(MaySun1+28)=CalendarYear,MONTH(MaySun1+28)=5),MaySun1+28, "")</f>
        <v>42883</v>
      </c>
      <c r="C11" s="6">
        <f>IF(AND(YEAR(MaySun1+29)=CalendarYear,MONTH(MaySun1+29)=5),MaySun1+29, "")</f>
        <v>42884</v>
      </c>
      <c r="D11" s="6">
        <f>IF(AND(YEAR(MaySun1+30)=CalendarYear,MONTH(MaySun1+30)=5),MaySun1+30, "")</f>
        <v>42885</v>
      </c>
      <c r="E11" s="6">
        <f>IF(AND(YEAR(MaySun1+31)=CalendarYear,MONTH(MaySun1+31)=5),MaySun1+31, "")</f>
        <v>42886</v>
      </c>
      <c r="F11" s="6" t="str">
        <f>IF(AND(YEAR(MaySun1+32)=CalendarYear,MONTH(MaySun1+32)=5),MaySun1+32, "")</f>
        <v/>
      </c>
      <c r="G11" s="6" t="str">
        <f>IF(AND(YEAR(MaySun1+33)=CalendarYear,MONTH(MaySun1+33)=5),MaySun1+33, "")</f>
        <v/>
      </c>
      <c r="H11" s="13" t="str">
        <f>IF(AND(YEAR(MaySun1+34)=CalendarYear,MONTH(MaySun1+34)=5),MaySun1+34, "")</f>
        <v/>
      </c>
    </row>
    <row r="12" spans="1:9" ht="72" customHeight="1">
      <c r="B12" s="32" t="s">
        <v>67</v>
      </c>
      <c r="C12" s="24" t="s">
        <v>35</v>
      </c>
      <c r="D12" s="25"/>
      <c r="E12" s="25" t="s">
        <v>50</v>
      </c>
      <c r="F12" s="24"/>
      <c r="G12" s="24"/>
      <c r="H12" s="29"/>
    </row>
    <row r="13" spans="1:9" ht="14" customHeight="1">
      <c r="B13" s="27" t="str">
        <f>IF(AND(YEAR(MaySun1+35)=CalendarYear,MONTH(MaySun1+35)=5),MaySun1+35, "")</f>
        <v/>
      </c>
      <c r="C13" s="23" t="str">
        <f>IF(AND(YEAR(MaySun1+36)=CalendarYear,MONTH(MaySun1+36)=5),MaySun1+36, "")</f>
        <v/>
      </c>
      <c r="D13" s="39" t="s">
        <v>8</v>
      </c>
      <c r="E13" s="39"/>
      <c r="F13" s="39"/>
      <c r="G13" s="39"/>
      <c r="H13" s="40"/>
    </row>
    <row r="14" spans="1:9" ht="72" customHeight="1" thickBot="1">
      <c r="B14" s="30"/>
      <c r="C14" s="26"/>
      <c r="D14" s="36" t="s">
        <v>11</v>
      </c>
      <c r="E14" s="37"/>
      <c r="F14" s="37"/>
      <c r="G14" s="37"/>
      <c r="H14" s="37"/>
      <c r="I14" s="38"/>
    </row>
  </sheetData>
  <mergeCells count="3">
    <mergeCell ref="B1:H1"/>
    <mergeCell ref="D13:H13"/>
    <mergeCell ref="D14:I14"/>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DATE(CalendarYear,6,1)</f>
        <v>42887</v>
      </c>
      <c r="C1" s="35"/>
      <c r="D1" s="35"/>
      <c r="E1" s="35"/>
      <c r="F1" s="35"/>
      <c r="G1" s="35"/>
      <c r="H1" s="35"/>
    </row>
    <row r="2" spans="1:8" s="3" customFormat="1" ht="14" customHeight="1">
      <c r="A2" s="2"/>
      <c r="B2" s="14" t="s">
        <v>0</v>
      </c>
      <c r="C2" s="15" t="s">
        <v>1</v>
      </c>
      <c r="D2" s="15" t="s">
        <v>2</v>
      </c>
      <c r="E2" s="15" t="s">
        <v>3</v>
      </c>
      <c r="F2" s="15" t="s">
        <v>4</v>
      </c>
      <c r="G2" s="15" t="s">
        <v>5</v>
      </c>
      <c r="H2" s="16" t="s">
        <v>6</v>
      </c>
    </row>
    <row r="3" spans="1:8" ht="14" customHeight="1">
      <c r="B3" s="9" t="str">
        <f>IF(AND(YEAR(JunSun1)=CalendarYear,MONTH(JunSun1)=6),JunSun1, "")</f>
        <v/>
      </c>
      <c r="C3" s="5" t="str">
        <f>IF(AND(YEAR(JunSun1+1)=CalendarYear,MONTH(JunSun1+1)=6),JunSun1+1, "")</f>
        <v/>
      </c>
      <c r="D3" s="5" t="str">
        <f>IF(AND(YEAR(JunSun1+2)=CalendarYear,MONTH(JunSun1+2)=6),JunSun1+2, "")</f>
        <v/>
      </c>
      <c r="E3" s="5" t="str">
        <f>IF(AND(YEAR(JunSun1+3)=CalendarYear,MONTH(JunSun1+3)=6),JunSun1+3, "")</f>
        <v/>
      </c>
      <c r="F3" s="5">
        <f>IF(AND(YEAR(JunSun1+4)=CalendarYear,MONTH(JunSun1+4)=6),JunSun1+4, "")</f>
        <v>42887</v>
      </c>
      <c r="G3" s="5">
        <f>IF(AND(YEAR(JunSun1+5)=CalendarYear,MONTH(JunSun1+5)=6),JunSun1+5, "")</f>
        <v>42888</v>
      </c>
      <c r="H3" s="10">
        <f>IF(AND(YEAR(JunSun1+6)=CalendarYear,MONTH(JunSun1+6)=6),JunSun1+6, "")</f>
        <v>42889</v>
      </c>
    </row>
    <row r="4" spans="1:8" ht="72" customHeight="1">
      <c r="B4" s="28"/>
      <c r="C4" s="24"/>
      <c r="D4" s="25"/>
      <c r="E4" s="25"/>
      <c r="F4" s="25"/>
      <c r="G4" s="25" t="s">
        <v>49</v>
      </c>
      <c r="H4" s="29"/>
    </row>
    <row r="5" spans="1:8" ht="14" customHeight="1">
      <c r="B5" s="11">
        <f>IF(AND(YEAR(JunSun1+7)=CalendarYear,MONTH(JunSun1+7)=6),JunSun1+7, "")</f>
        <v>42890</v>
      </c>
      <c r="C5" s="5">
        <f>IF(AND(YEAR(JunSun1+8)=CalendarYear,MONTH(JunSun1+8)=6),JunSun1+8, "")</f>
        <v>42891</v>
      </c>
      <c r="D5" s="5">
        <f>IF(AND(YEAR(JunSun1+9)=CalendarYear,MONTH(JunSun1+9)=6),JunSun1+9, "")</f>
        <v>42892</v>
      </c>
      <c r="E5" s="5">
        <f>IF(AND(YEAR(JunSun1+10)=CalendarYear,MONTH(JunSun1+10)=6),JunSun1+10, "")</f>
        <v>42893</v>
      </c>
      <c r="F5" s="5">
        <f>IF(AND(YEAR(JunSun1+11)=CalendarYear,MONTH(JunSun1+11)=6),JunSun1+11, "")</f>
        <v>42894</v>
      </c>
      <c r="G5" s="5">
        <f>IF(AND(YEAR(JunSun1+12)=CalendarYear,MONTH(JunSun1+12)=6),JunSun1+12,"")</f>
        <v>42895</v>
      </c>
      <c r="H5" s="10">
        <f>IF(AND(YEAR(JunSun1+13)=CalendarYear,MONTH(JunSun1+13)=6),JunSun1+13, "")</f>
        <v>42896</v>
      </c>
    </row>
    <row r="6" spans="1:8" ht="72" customHeight="1">
      <c r="B6" s="32" t="s">
        <v>60</v>
      </c>
      <c r="C6" s="24" t="s">
        <v>36</v>
      </c>
      <c r="D6" s="25"/>
      <c r="E6" s="25" t="s">
        <v>50</v>
      </c>
      <c r="F6" s="25"/>
      <c r="G6" s="25" t="s">
        <v>49</v>
      </c>
      <c r="H6" s="29"/>
    </row>
    <row r="7" spans="1:8" ht="14" customHeight="1">
      <c r="B7" s="11">
        <f>IF(AND(YEAR(JunSun1+14)=CalendarYear,MONTH(JunSun1+14)=6),JunSun1+14, "")</f>
        <v>42897</v>
      </c>
      <c r="C7" s="5">
        <f>IF(AND(YEAR(JunSun1+15)=CalendarYear,MONTH(JunSun1+15)=6),JunSun1+15, "")</f>
        <v>42898</v>
      </c>
      <c r="D7" s="5">
        <f>IF(AND(YEAR(JunSun1+16)=CalendarYear,MONTH(JunSun1+16)=6),JunSun1+16, "")</f>
        <v>42899</v>
      </c>
      <c r="E7" s="5">
        <f>IF(AND(YEAR(JunSun1+17)=CalendarYear,MONTH(JunSun1+17)=6),JunSun1+17, "")</f>
        <v>42900</v>
      </c>
      <c r="F7" s="5">
        <f>IF(AND(YEAR(JunSun1+18)=CalendarYear,MONTH(JunSun1+18)=6),JunSun1+18, "")</f>
        <v>42901</v>
      </c>
      <c r="G7" s="5">
        <f>IF(AND(YEAR(JunSun1+19)=CalendarYear,MONTH(JunSun1+19)=6),JunSun1+19, "")</f>
        <v>42902</v>
      </c>
      <c r="H7" s="10">
        <f>IF(AND(YEAR(JunSun1+20)=CalendarYear,MONTH(JunSun1+20)=6),JunSun1+20, "")</f>
        <v>42903</v>
      </c>
    </row>
    <row r="8" spans="1:8" ht="72" customHeight="1">
      <c r="B8" s="32" t="s">
        <v>61</v>
      </c>
      <c r="C8" s="24" t="s">
        <v>37</v>
      </c>
      <c r="D8" s="25"/>
      <c r="E8" s="25" t="s">
        <v>50</v>
      </c>
      <c r="F8" s="25"/>
      <c r="G8" s="25" t="s">
        <v>49</v>
      </c>
      <c r="H8" s="29"/>
    </row>
    <row r="9" spans="1:8" ht="14" customHeight="1">
      <c r="B9" s="12">
        <f>IF(AND(YEAR(JunSun1+21)=CalendarYear,MONTH(JunSun1+21)=6),JunSun1+21, "")</f>
        <v>42904</v>
      </c>
      <c r="C9" s="6">
        <f>IF(AND(YEAR(JunSun1+22)=CalendarYear,MONTH(JunSun1+22)=6),JunSun1+22, "")</f>
        <v>42905</v>
      </c>
      <c r="D9" s="6">
        <f>IF(AND(YEAR(JunSun1+23)=CalendarYear,MONTH(JunSun1+23)=6),JunSun1+23, "")</f>
        <v>42906</v>
      </c>
      <c r="E9" s="6">
        <f>IF(AND(YEAR(JunSun1+24)=CalendarYear,MONTH(JunSun1+24)=6),JunSun1+24, "")</f>
        <v>42907</v>
      </c>
      <c r="F9" s="6">
        <f>IF(AND(YEAR(JunSun1+25)=CalendarYear,MONTH(JunSun1+25)=6),JunSun1+25, "")</f>
        <v>42908</v>
      </c>
      <c r="G9" s="6">
        <f>IF(AND(YEAR(JunSun1+26)=CalendarYear,MONTH(JunSun1+26)=6),JunSun1+26, "")</f>
        <v>42909</v>
      </c>
      <c r="H9" s="13">
        <f>IF(AND(YEAR(JunSun1+27)=CalendarYear,MONTH(JunSun1+27)=6),JunSun1+27, "")</f>
        <v>42910</v>
      </c>
    </row>
    <row r="10" spans="1:8" ht="72" customHeight="1">
      <c r="B10" s="32" t="s">
        <v>62</v>
      </c>
      <c r="C10" s="24" t="s">
        <v>38</v>
      </c>
      <c r="D10" s="25"/>
      <c r="E10" s="25" t="s">
        <v>50</v>
      </c>
      <c r="F10" s="25"/>
      <c r="G10" s="25" t="s">
        <v>49</v>
      </c>
      <c r="H10" s="29"/>
    </row>
    <row r="11" spans="1:8" ht="14" customHeight="1">
      <c r="B11" s="12">
        <f>IF(AND(YEAR(JunSun1+28)=CalendarYear,MONTH(JunSun1+28)=6),JunSun1+28, "")</f>
        <v>42911</v>
      </c>
      <c r="C11" s="6">
        <f>IF(AND(YEAR(JunSun1+29)=CalendarYear,MONTH(JunSun1+29)=6),JunSun1+29, "")</f>
        <v>42912</v>
      </c>
      <c r="D11" s="6">
        <f>IF(AND(YEAR(JunSun1+30)=CalendarYear,MONTH(JunSun1+30)=6),JunSun1+30, "")</f>
        <v>42913</v>
      </c>
      <c r="E11" s="6">
        <f>IF(AND(YEAR(JunSun1+31)=CalendarYear,MONTH(JunSun1+31)=6),JunSun1+31, "")</f>
        <v>42914</v>
      </c>
      <c r="F11" s="6">
        <f>IF(AND(YEAR(JunSun1+32)=CalendarYear,MONTH(JunSun1+32)=6),JunSun1+32, "")</f>
        <v>42915</v>
      </c>
      <c r="G11" s="6">
        <f>IF(AND(YEAR(JunSun1+33)=CalendarYear,MONTH(JunSun1+33)=6),JunSun1+33, "")</f>
        <v>42916</v>
      </c>
      <c r="H11" s="13" t="str">
        <f>IF(AND(YEAR(JunSun1+34)=CalendarYear,MONTH(JunSun1+34)=6),JunSun1+34, "")</f>
        <v/>
      </c>
    </row>
    <row r="12" spans="1:8" ht="72" customHeight="1">
      <c r="B12" s="32" t="s">
        <v>63</v>
      </c>
      <c r="C12" s="24" t="s">
        <v>39</v>
      </c>
      <c r="D12" s="25"/>
      <c r="E12" s="25" t="s">
        <v>50</v>
      </c>
      <c r="F12" s="24"/>
      <c r="G12" s="25" t="s">
        <v>49</v>
      </c>
      <c r="H12" s="29"/>
    </row>
    <row r="13" spans="1:8" ht="14" customHeight="1">
      <c r="B13" s="12" t="str">
        <f>IF(AND(YEAR(JunSun1+35)=CalendarYear,MONTH(JunSun1+35)=6),JunSun1+35, "")</f>
        <v/>
      </c>
      <c r="C13" s="39" t="s">
        <v>8</v>
      </c>
      <c r="D13" s="39"/>
      <c r="E13" s="39"/>
      <c r="F13" s="39"/>
      <c r="G13" s="39"/>
      <c r="H13" s="40"/>
    </row>
    <row r="14" spans="1:8" ht="72" customHeight="1" thickBot="1">
      <c r="B14" s="30"/>
      <c r="C14" s="36" t="s">
        <v>11</v>
      </c>
      <c r="D14" s="37"/>
      <c r="E14" s="37"/>
      <c r="F14" s="37"/>
      <c r="G14" s="37"/>
      <c r="H14" s="38"/>
    </row>
  </sheetData>
  <mergeCells count="3">
    <mergeCell ref="B1:H1"/>
    <mergeCell ref="C13:H13"/>
    <mergeCell ref="C14:H14"/>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9" s="1" customFormat="1" ht="72" customHeight="1" thickBot="1">
      <c r="B1" s="35">
        <f>DATE(CalendarYear,7,1)</f>
        <v>42917</v>
      </c>
      <c r="C1" s="35"/>
      <c r="D1" s="35"/>
      <c r="E1" s="35"/>
      <c r="F1" s="35"/>
      <c r="G1" s="35"/>
      <c r="H1" s="35"/>
    </row>
    <row r="2" spans="1:9" s="3" customFormat="1" ht="14" customHeight="1">
      <c r="A2" s="2"/>
      <c r="B2" s="17" t="s">
        <v>0</v>
      </c>
      <c r="C2" s="18" t="s">
        <v>1</v>
      </c>
      <c r="D2" s="18" t="s">
        <v>2</v>
      </c>
      <c r="E2" s="18" t="s">
        <v>3</v>
      </c>
      <c r="F2" s="18" t="s">
        <v>4</v>
      </c>
      <c r="G2" s="18" t="s">
        <v>5</v>
      </c>
      <c r="H2" s="19" t="s">
        <v>6</v>
      </c>
    </row>
    <row r="3" spans="1:9" ht="14" customHeight="1">
      <c r="B3" s="9" t="str">
        <f>IF(AND(YEAR(JulSun1)=CalendarYear,MONTH(JulSun1)=7),JulSun1, "")</f>
        <v/>
      </c>
      <c r="C3" s="5" t="str">
        <f>IF(AND(YEAR(JulSun1+1)=CalendarYear,MONTH(JulSun1+1)=7),JulSun1+1, "")</f>
        <v/>
      </c>
      <c r="D3" s="5" t="str">
        <f>IF(AND(YEAR(JulSun1+2)=CalendarYear,MONTH(JulSun1+2)=7),JulSun1+2, "")</f>
        <v/>
      </c>
      <c r="E3" s="5" t="str">
        <f>IF(AND(YEAR(JulSun1+3)=CalendarYear,MONTH(JulSun1+3)=7),JulSun1+3, "")</f>
        <v/>
      </c>
      <c r="F3" s="5" t="str">
        <f>IF(AND(YEAR(JulSun1+4)=CalendarYear,MONTH(JulSun1+4)=7),JulSun1+4, "")</f>
        <v/>
      </c>
      <c r="G3" s="5" t="str">
        <f>IF(AND(YEAR(JulSun1+5)=CalendarYear,MONTH(JulSun1+5)=7),JulSun1+5, "")</f>
        <v/>
      </c>
      <c r="H3" s="10">
        <f>IF(AND(YEAR(JulSun1+6)=CalendarYear,MONTH(JulSun1+6)=7),JulSun1+6, "")</f>
        <v>42917</v>
      </c>
    </row>
    <row r="4" spans="1:9" ht="72" customHeight="1">
      <c r="B4" s="28"/>
      <c r="C4" s="24"/>
      <c r="D4" s="25"/>
      <c r="E4" s="25"/>
      <c r="F4" s="25"/>
      <c r="G4" s="25"/>
      <c r="H4" s="29"/>
    </row>
    <row r="5" spans="1:9" ht="14" customHeight="1">
      <c r="B5" s="11">
        <f>IF(AND(YEAR(JulSun1+7)=CalendarYear,MONTH(JulSun1+7)=7),JulSun1+7, "")</f>
        <v>42918</v>
      </c>
      <c r="C5" s="5">
        <f>IF(AND(YEAR(JulSun1+8)=CalendarYear,MONTH(JulSun1+8)=7),JulSun1+8, "")</f>
        <v>42919</v>
      </c>
      <c r="D5" s="5">
        <f>IF(AND(YEAR(JulSun1+9)=CalendarYear,MONTH(JulSun1+9)=7),JulSun1+9, "")</f>
        <v>42920</v>
      </c>
      <c r="E5" s="5">
        <f>IF(AND(YEAR(JulSun1+10)=CalendarYear,MONTH(JulSun1+10)=7),JulSun1+10, "")</f>
        <v>42921</v>
      </c>
      <c r="F5" s="5">
        <f>IF(AND(YEAR(JulSun1+11)=CalendarYear,MONTH(JulSun1+11)=7),JulSun1+11, "")</f>
        <v>42922</v>
      </c>
      <c r="G5" s="5">
        <f>IF(AND(YEAR(JulSun1+12)=CalendarYear,MONTH(JulSun1+12)=7),JulSun1+12,"")</f>
        <v>42923</v>
      </c>
      <c r="H5" s="10">
        <f>IF(AND(YEAR(JulSun1+13)=CalendarYear,MONTH(JulSun1+13)=7),JulSun1+13, "")</f>
        <v>42924</v>
      </c>
    </row>
    <row r="6" spans="1:9" ht="72" customHeight="1">
      <c r="B6" s="32" t="s">
        <v>55</v>
      </c>
      <c r="C6" s="24" t="s">
        <v>40</v>
      </c>
      <c r="D6" s="25"/>
      <c r="E6" s="25" t="s">
        <v>50</v>
      </c>
      <c r="F6" s="25"/>
      <c r="G6" s="25" t="s">
        <v>49</v>
      </c>
      <c r="H6" s="29"/>
    </row>
    <row r="7" spans="1:9" ht="14" customHeight="1">
      <c r="B7" s="11">
        <f>IF(AND(YEAR(JulSun1+14)=CalendarYear,MONTH(JulSun1+14)=7),JulSun1+14, "")</f>
        <v>42925</v>
      </c>
      <c r="C7" s="5">
        <f>IF(AND(YEAR(JulSun1+15)=CalendarYear,MONTH(JulSun1+15)=7),JulSun1+15, "")</f>
        <v>42926</v>
      </c>
      <c r="D7" s="5">
        <f>IF(AND(YEAR(JulSun1+16)=CalendarYear,MONTH(JulSun1+16)=7),JulSun1+16, "")</f>
        <v>42927</v>
      </c>
      <c r="E7" s="5">
        <f>IF(AND(YEAR(JulSun1+17)=CalendarYear,MONTH(JulSun1+17)=7),JulSun1+17, "")</f>
        <v>42928</v>
      </c>
      <c r="F7" s="5">
        <f>IF(AND(YEAR(JulSun1+18)=CalendarYear,MONTH(JulSun1+18)=7),JulSun1+18, "")</f>
        <v>42929</v>
      </c>
      <c r="G7" s="5">
        <f>IF(AND(YEAR(JulSun1+19)=CalendarYear,MONTH(JulSun1+19)=7),JulSun1+19, "")</f>
        <v>42930</v>
      </c>
      <c r="H7" s="10">
        <f>IF(AND(YEAR(JulSun1+20)=CalendarYear,MONTH(JulSun1+20)=7),JulSun1+20, "")</f>
        <v>42931</v>
      </c>
    </row>
    <row r="8" spans="1:9" ht="72" customHeight="1">
      <c r="B8" s="32" t="s">
        <v>56</v>
      </c>
      <c r="C8" s="24" t="s">
        <v>41</v>
      </c>
      <c r="D8" s="25"/>
      <c r="E8" s="25" t="s">
        <v>50</v>
      </c>
      <c r="F8" s="25"/>
      <c r="G8" s="25" t="s">
        <v>49</v>
      </c>
      <c r="H8" s="29"/>
    </row>
    <row r="9" spans="1:9" ht="14" customHeight="1">
      <c r="B9" s="12">
        <f>IF(AND(YEAR(JulSun1+21)=CalendarYear,MONTH(JulSun1+21)=7),JulSun1+21, "")</f>
        <v>42932</v>
      </c>
      <c r="C9" s="6">
        <f>IF(AND(YEAR(JulSun1+22)=CalendarYear,MONTH(JulSun1+22)=7),JulSun1+22, "")</f>
        <v>42933</v>
      </c>
      <c r="D9" s="6">
        <f>IF(AND(YEAR(JulSun1+23)=CalendarYear,MONTH(JulSun1+23)=7),JulSun1+23, "")</f>
        <v>42934</v>
      </c>
      <c r="E9" s="6">
        <f>IF(AND(YEAR(JulSun1+24)=CalendarYear,MONTH(JulSun1+24)=7),JulSun1+24, "")</f>
        <v>42935</v>
      </c>
      <c r="F9" s="6">
        <f>IF(AND(YEAR(JulSun1+25)=CalendarYear,MONTH(JulSun1+25)=7),JulSun1+25, "")</f>
        <v>42936</v>
      </c>
      <c r="G9" s="6">
        <f>IF(AND(YEAR(JulSun1+26)=CalendarYear,MONTH(JulSun1+26)=7),JulSun1+26, "")</f>
        <v>42937</v>
      </c>
      <c r="H9" s="13">
        <f>IF(AND(YEAR(JulSun1+27)=CalendarYear,MONTH(JulSun1+27)=7),JulSun1+27, "")</f>
        <v>42938</v>
      </c>
    </row>
    <row r="10" spans="1:9" ht="72" customHeight="1">
      <c r="B10" s="32" t="s">
        <v>57</v>
      </c>
      <c r="C10" s="24" t="s">
        <v>42</v>
      </c>
      <c r="D10" s="25"/>
      <c r="E10" s="25" t="s">
        <v>50</v>
      </c>
      <c r="F10" s="25"/>
      <c r="G10" s="25" t="s">
        <v>49</v>
      </c>
      <c r="H10" s="29"/>
    </row>
    <row r="11" spans="1:9" ht="14" customHeight="1">
      <c r="B11" s="12">
        <f>IF(AND(YEAR(JulSun1+28)=CalendarYear,MONTH(JulSun1+28)=7),JulSun1+28, "")</f>
        <v>42939</v>
      </c>
      <c r="C11" s="6">
        <f>IF(AND(YEAR(JulSun1+29)=CalendarYear,MONTH(JulSun1+29)=7),JulSun1+29, "")</f>
        <v>42940</v>
      </c>
      <c r="D11" s="6">
        <f>IF(AND(YEAR(JulSun1+30)=CalendarYear,MONTH(JulSun1+30)=7),JulSun1+30, "")</f>
        <v>42941</v>
      </c>
      <c r="E11" s="6">
        <f>IF(AND(YEAR(JulSun1+31)=CalendarYear,MONTH(JulSun1+31)=7),JulSun1+31, "")</f>
        <v>42942</v>
      </c>
      <c r="F11" s="6">
        <f>IF(AND(YEAR(JulSun1+32)=CalendarYear,MONTH(JulSun1+32)=7),JulSun1+32, "")</f>
        <v>42943</v>
      </c>
      <c r="G11" s="6">
        <f>IF(AND(YEAR(JulSun1+33)=CalendarYear,MONTH(JulSun1+33)=7),JulSun1+33, "")</f>
        <v>42944</v>
      </c>
      <c r="H11" s="13">
        <f>IF(AND(YEAR(JulSun1+34)=CalendarYear,MONTH(JulSun1+34)=7),JulSun1+34, "")</f>
        <v>42945</v>
      </c>
    </row>
    <row r="12" spans="1:9" ht="72" customHeight="1">
      <c r="B12" s="32" t="s">
        <v>58</v>
      </c>
      <c r="C12" s="24" t="s">
        <v>43</v>
      </c>
      <c r="D12" s="25"/>
      <c r="E12" s="25" t="s">
        <v>50</v>
      </c>
      <c r="F12" s="24"/>
      <c r="G12" s="25" t="s">
        <v>49</v>
      </c>
      <c r="H12" s="29"/>
    </row>
    <row r="13" spans="1:9" ht="14" customHeight="1">
      <c r="B13" s="27">
        <f>IF(AND(YEAR(JulSun1+35)=CalendarYear,MONTH(JulSun1+35)=7),JulSun1+35, "")</f>
        <v>42946</v>
      </c>
      <c r="C13" s="23">
        <f>IF(AND(YEAR(JulSun1+36)=CalendarYear,MONTH(JulSun1+36)=7),JulSun1+36, "")</f>
        <v>42947</v>
      </c>
      <c r="D13" s="39" t="s">
        <v>8</v>
      </c>
      <c r="E13" s="39"/>
      <c r="F13" s="39"/>
      <c r="G13" s="39"/>
      <c r="H13" s="40"/>
    </row>
    <row r="14" spans="1:9" ht="72" customHeight="1" thickBot="1">
      <c r="B14" s="33" t="s">
        <v>59</v>
      </c>
      <c r="C14" s="24" t="s">
        <v>45</v>
      </c>
      <c r="D14" s="36" t="s">
        <v>11</v>
      </c>
      <c r="E14" s="37"/>
      <c r="F14" s="37"/>
      <c r="G14" s="37"/>
      <c r="H14" s="37"/>
      <c r="I14" s="38"/>
    </row>
  </sheetData>
  <mergeCells count="3">
    <mergeCell ref="B1:H1"/>
    <mergeCell ref="D13:H13"/>
    <mergeCell ref="D14:I14"/>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I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9" s="1" customFormat="1" ht="72" customHeight="1" thickBot="1">
      <c r="B1" s="35">
        <f>DATE(CalendarYear,8,1)</f>
        <v>42948</v>
      </c>
      <c r="C1" s="35"/>
      <c r="D1" s="35"/>
      <c r="E1" s="35"/>
      <c r="F1" s="35"/>
      <c r="G1" s="35"/>
      <c r="H1" s="35"/>
    </row>
    <row r="2" spans="1:9" s="3" customFormat="1" ht="14" customHeight="1">
      <c r="A2" s="2"/>
      <c r="B2" s="17" t="s">
        <v>0</v>
      </c>
      <c r="C2" s="18" t="s">
        <v>1</v>
      </c>
      <c r="D2" s="18" t="s">
        <v>2</v>
      </c>
      <c r="E2" s="18" t="s">
        <v>3</v>
      </c>
      <c r="F2" s="18" t="s">
        <v>4</v>
      </c>
      <c r="G2" s="18" t="s">
        <v>5</v>
      </c>
      <c r="H2" s="19" t="s">
        <v>6</v>
      </c>
    </row>
    <row r="3" spans="1:9" ht="14" customHeight="1">
      <c r="B3" s="9" t="str">
        <f>IF(AND(YEAR(AugSun1)=CalendarYear,MONTH(AugSun1)=8),AugSun1, "")</f>
        <v/>
      </c>
      <c r="C3" s="5" t="str">
        <f>IF(AND(YEAR(AugSun1+1)=CalendarYear,MONTH(AugSun1+1)=8),AugSun1+1, "")</f>
        <v/>
      </c>
      <c r="D3" s="5">
        <f>IF(AND(YEAR(AugSun1+2)=CalendarYear,MONTH(AugSun1+2)=8),AugSun1+2, "")</f>
        <v>42948</v>
      </c>
      <c r="E3" s="5">
        <f>IF(AND(YEAR(AugSun1+3)=CalendarYear,MONTH(AugSun1+3)=8),AugSun1+3, "")</f>
        <v>42949</v>
      </c>
      <c r="F3" s="5">
        <f>IF(AND(YEAR(AugSun1+4)=CalendarYear,MONTH(AugSun1+4)=8),AugSun1+4, "")</f>
        <v>42950</v>
      </c>
      <c r="G3" s="5">
        <f>IF(AND(YEAR(AugSun1+5)=CalendarYear,MONTH(AugSun1+5)=8),AugSun1+5, "")</f>
        <v>42951</v>
      </c>
      <c r="H3" s="10">
        <f>IF(AND(YEAR(AugSun1+6)=CalendarYear,MONTH(AugSun1+6)=8),AugSun1+6, "")</f>
        <v>42952</v>
      </c>
    </row>
    <row r="4" spans="1:9" ht="72" customHeight="1">
      <c r="B4" s="28"/>
      <c r="C4" s="24"/>
      <c r="D4" s="25"/>
      <c r="E4" s="25" t="s">
        <v>50</v>
      </c>
      <c r="F4" s="25"/>
      <c r="G4" s="25" t="s">
        <v>49</v>
      </c>
      <c r="H4" s="29"/>
    </row>
    <row r="5" spans="1:9" ht="14" customHeight="1">
      <c r="B5" s="11">
        <f>IF(AND(YEAR(AugSun1+7)=CalendarYear,MONTH(AugSun1+7)=8),AugSun1+7, "")</f>
        <v>42953</v>
      </c>
      <c r="C5" s="5">
        <f>IF(AND(YEAR(AugSun1+8)=CalendarYear,MONTH(AugSun1+8)=8),AugSun1+8, "")</f>
        <v>42954</v>
      </c>
      <c r="D5" s="5">
        <f>IF(AND(YEAR(AugSun1+9)=CalendarYear,MONTH(AugSun1+9)=8),AugSun1+9, "")</f>
        <v>42955</v>
      </c>
      <c r="E5" s="5">
        <f>IF(AND(YEAR(AugSun1+10)=CalendarYear,MONTH(AugSun1+10)=8),AugSun1+10, "")</f>
        <v>42956</v>
      </c>
      <c r="F5" s="5">
        <f>IF(AND(YEAR(AugSun1+11)=CalendarYear,MONTH(AugSun1+11)=8),AugSun1+11, "")</f>
        <v>42957</v>
      </c>
      <c r="G5" s="5">
        <f>IF(AND(YEAR(AugSun1+12)=CalendarYear,MONTH(AugSun1+12)=8),AugSun1+12,"")</f>
        <v>42958</v>
      </c>
      <c r="H5" s="10">
        <f>IF(AND(YEAR(AugSun1+13)=CalendarYear,MONTH(AugSun1+13)=8),AugSun1+13, "")</f>
        <v>42959</v>
      </c>
    </row>
    <row r="6" spans="1:9" ht="72" customHeight="1">
      <c r="B6" s="32" t="s">
        <v>51</v>
      </c>
      <c r="C6" s="24" t="s">
        <v>46</v>
      </c>
      <c r="D6" s="25"/>
      <c r="E6" s="25" t="s">
        <v>50</v>
      </c>
      <c r="F6" s="25"/>
      <c r="G6" s="25" t="s">
        <v>49</v>
      </c>
      <c r="H6" s="29"/>
    </row>
    <row r="7" spans="1:9" ht="14" customHeight="1">
      <c r="B7" s="11">
        <f>IF(AND(YEAR(AugSun1+14)=CalendarYear,MONTH(AugSun1+14)=8),AugSun1+14, "")</f>
        <v>42960</v>
      </c>
      <c r="C7" s="5">
        <f>IF(AND(YEAR(AugSun1+15)=CalendarYear,MONTH(AugSun1+15)=8),AugSun1+15, "")</f>
        <v>42961</v>
      </c>
      <c r="D7" s="5">
        <f>IF(AND(YEAR(AugSun1+16)=CalendarYear,MONTH(AugSun1+16)=8),AugSun1+16, "")</f>
        <v>42962</v>
      </c>
      <c r="E7" s="5">
        <f>IF(AND(YEAR(AugSun1+17)=CalendarYear,MONTH(AugSun1+17)=8),AugSun1+17, "")</f>
        <v>42963</v>
      </c>
      <c r="F7" s="5">
        <f>IF(AND(YEAR(AugSun1+18)=CalendarYear,MONTH(AugSun1+18)=8),AugSun1+18, "")</f>
        <v>42964</v>
      </c>
      <c r="G7" s="5">
        <f>IF(AND(YEAR(AugSun1+19)=CalendarYear,MONTH(AugSun1+19)=8),AugSun1+19, "")</f>
        <v>42965</v>
      </c>
      <c r="H7" s="10">
        <f>IF(AND(YEAR(AugSun1+20)=CalendarYear,MONTH(AugSun1+20)=8),AugSun1+20, "")</f>
        <v>42966</v>
      </c>
    </row>
    <row r="8" spans="1:9" ht="72" customHeight="1">
      <c r="B8" s="32" t="s">
        <v>52</v>
      </c>
      <c r="C8" s="24" t="s">
        <v>47</v>
      </c>
      <c r="D8" s="25"/>
      <c r="E8" s="25" t="s">
        <v>50</v>
      </c>
      <c r="F8" s="25"/>
      <c r="G8" s="25" t="s">
        <v>49</v>
      </c>
      <c r="H8" s="29"/>
    </row>
    <row r="9" spans="1:9" ht="14" customHeight="1">
      <c r="B9" s="12">
        <f>IF(AND(YEAR(AugSun1+21)=CalendarYear,MONTH(AugSun1+21)=8),AugSun1+21, "")</f>
        <v>42967</v>
      </c>
      <c r="C9" s="6">
        <f>IF(AND(YEAR(AugSun1+22)=CalendarYear,MONTH(AugSun1+22)=8),AugSun1+22, "")</f>
        <v>42968</v>
      </c>
      <c r="D9" s="6">
        <f>IF(AND(YEAR(AugSun1+23)=CalendarYear,MONTH(AugSun1+23)=8),AugSun1+23, "")</f>
        <v>42969</v>
      </c>
      <c r="E9" s="6">
        <f>IF(AND(YEAR(AugSun1+24)=CalendarYear,MONTH(AugSun1+24)=8),AugSun1+24, "")</f>
        <v>42970</v>
      </c>
      <c r="F9" s="6">
        <f>IF(AND(YEAR(AugSun1+25)=CalendarYear,MONTH(AugSun1+25)=8),AugSun1+25, "")</f>
        <v>42971</v>
      </c>
      <c r="G9" s="6">
        <f>IF(AND(YEAR(AugSun1+26)=CalendarYear,MONTH(AugSun1+26)=8),AugSun1+26, "")</f>
        <v>42972</v>
      </c>
      <c r="H9" s="13">
        <f>IF(AND(YEAR(AugSun1+27)=CalendarYear,MONTH(AugSun1+27)=8),AugSun1+27, "")</f>
        <v>42973</v>
      </c>
    </row>
    <row r="10" spans="1:9" ht="72" customHeight="1">
      <c r="B10" s="32" t="s">
        <v>53</v>
      </c>
      <c r="C10" s="24" t="s">
        <v>48</v>
      </c>
      <c r="D10" s="25"/>
      <c r="E10" s="25" t="s">
        <v>50</v>
      </c>
      <c r="F10" s="25"/>
      <c r="G10" s="25" t="s">
        <v>49</v>
      </c>
      <c r="H10" s="29"/>
    </row>
    <row r="11" spans="1:9" ht="14" customHeight="1">
      <c r="B11" s="12">
        <f>IF(AND(YEAR(AugSun1+28)=CalendarYear,MONTH(AugSun1+28)=8),AugSun1+28, "")</f>
        <v>42974</v>
      </c>
      <c r="C11" s="6">
        <f>IF(AND(YEAR(AugSun1+29)=CalendarYear,MONTH(AugSun1+29)=8),AugSun1+29, "")</f>
        <v>42975</v>
      </c>
      <c r="D11" s="6">
        <f>IF(AND(YEAR(AugSun1+30)=CalendarYear,MONTH(AugSun1+30)=8),AugSun1+30, "")</f>
        <v>42976</v>
      </c>
      <c r="E11" s="6">
        <f>IF(AND(YEAR(AugSun1+31)=CalendarYear,MONTH(AugSun1+31)=8),AugSun1+31, "")</f>
        <v>42977</v>
      </c>
      <c r="F11" s="6">
        <f>IF(AND(YEAR(AugSun1+32)=CalendarYear,MONTH(AugSun1+32)=8),AugSun1+32, "")</f>
        <v>42978</v>
      </c>
      <c r="G11" s="6" t="str">
        <f>IF(AND(YEAR(AugSun1+33)=CalendarYear,MONTH(AugSun1+33)=8),AugSun1+33, "")</f>
        <v/>
      </c>
      <c r="H11" s="13" t="str">
        <f>IF(AND(YEAR(AugSun1+34)=CalendarYear,MONTH(AugSun1+34)=8),AugSun1+34, "")</f>
        <v/>
      </c>
    </row>
    <row r="12" spans="1:9" ht="72" customHeight="1">
      <c r="B12" s="32" t="s">
        <v>54</v>
      </c>
      <c r="C12" s="24" t="s">
        <v>44</v>
      </c>
      <c r="D12" s="25"/>
      <c r="E12" s="25" t="s">
        <v>50</v>
      </c>
      <c r="F12" s="24"/>
      <c r="G12" s="24"/>
      <c r="H12" s="29"/>
    </row>
    <row r="13" spans="1:9" ht="14" customHeight="1">
      <c r="B13" s="27" t="str">
        <f>IF(AND(YEAR(AugSun1+35)=CalendarYear,MONTH(AugSun1+35)=8),AugSun1+35, "")</f>
        <v/>
      </c>
      <c r="C13" s="23" t="str">
        <f>IF(AND(YEAR(AugSun1+36)=CalendarYear,MONTH(AugSun1+36)=8),AugSun1+36, "")</f>
        <v/>
      </c>
      <c r="D13" s="39" t="s">
        <v>8</v>
      </c>
      <c r="E13" s="39"/>
      <c r="F13" s="39"/>
      <c r="G13" s="39"/>
      <c r="H13" s="40"/>
    </row>
    <row r="14" spans="1:9" ht="72" customHeight="1" thickBot="1">
      <c r="B14" s="30"/>
      <c r="C14" s="26"/>
      <c r="D14" s="36" t="s">
        <v>11</v>
      </c>
      <c r="E14" s="37"/>
      <c r="F14" s="37"/>
      <c r="G14" s="37"/>
      <c r="H14" s="37"/>
      <c r="I14" s="38"/>
    </row>
  </sheetData>
  <mergeCells count="3">
    <mergeCell ref="B1:H1"/>
    <mergeCell ref="D13:H13"/>
    <mergeCell ref="D14:I14"/>
  </mergeCells>
  <phoneticPr fontId="1" type="noConversion"/>
  <printOptions horizontalCentered="1"/>
  <pageMargins left="0.5" right="0.5" top="0.75" bottom="0.75" header="0.5" footer="0.5"/>
  <pageSetup orientation="portrait" horizontalDpi="4294967292" verticalDpi="4294967292"/>
  <headerFooter alignWithMargins="0"/>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DATE(CalendarYear,9,1)</f>
        <v>42979</v>
      </c>
      <c r="C1" s="35"/>
      <c r="D1" s="35"/>
      <c r="E1" s="35"/>
      <c r="F1" s="35"/>
      <c r="G1" s="35"/>
      <c r="H1" s="35"/>
    </row>
    <row r="2" spans="1:8" s="3" customFormat="1" ht="14" customHeight="1">
      <c r="A2" s="2"/>
      <c r="B2" s="17" t="s">
        <v>0</v>
      </c>
      <c r="C2" s="18" t="s">
        <v>1</v>
      </c>
      <c r="D2" s="18" t="s">
        <v>2</v>
      </c>
      <c r="E2" s="18" t="s">
        <v>3</v>
      </c>
      <c r="F2" s="18" t="s">
        <v>4</v>
      </c>
      <c r="G2" s="18" t="s">
        <v>5</v>
      </c>
      <c r="H2" s="19" t="s">
        <v>6</v>
      </c>
    </row>
    <row r="3" spans="1:8" ht="14" customHeight="1">
      <c r="B3" s="9" t="str">
        <f>IF(AND(YEAR(SepSun1)=CalendarYear,MONTH(SepSun1)=9),SepSun1, "")</f>
        <v/>
      </c>
      <c r="C3" s="5" t="str">
        <f>IF(AND(YEAR(SepSun1+1)=CalendarYear,MONTH(SepSun1+1)=9),SepSun1+1, "")</f>
        <v/>
      </c>
      <c r="D3" s="5" t="str">
        <f>IF(AND(YEAR(SepSun1+2)=CalendarYear,MONTH(SepSun1+2)=9),SepSun1+2, "")</f>
        <v/>
      </c>
      <c r="E3" s="5" t="str">
        <f>IF(AND(YEAR(SepSun1+3)=CalendarYear,MONTH(SepSun1+3)=9),SepSun1+3, "")</f>
        <v/>
      </c>
      <c r="F3" s="5" t="str">
        <f>IF(AND(YEAR(SepSun1+4)=CalendarYear,MONTH(SepSun1+4)=9),SepSun1+4, "")</f>
        <v/>
      </c>
      <c r="G3" s="5">
        <f>IF(AND(YEAR(SepSun1+5)=CalendarYear,MONTH(SepSun1+5)=9),SepSun1+5, "")</f>
        <v>42979</v>
      </c>
      <c r="H3" s="10">
        <f>IF(AND(YEAR(SepSun1+6)=CalendarYear,MONTH(SepSun1+6)=9),SepSun1+6, "")</f>
        <v>42980</v>
      </c>
    </row>
    <row r="4" spans="1:8" ht="72" customHeight="1">
      <c r="B4" s="28"/>
      <c r="C4" s="24"/>
      <c r="D4" s="25"/>
      <c r="E4" s="25"/>
      <c r="F4" s="25"/>
      <c r="G4" s="25"/>
      <c r="H4" s="29"/>
    </row>
    <row r="5" spans="1:8" ht="14" customHeight="1">
      <c r="B5" s="11">
        <f>IF(AND(YEAR(SepSun1+7)=CalendarYear,MONTH(SepSun1+7)=9),SepSun1+7, "")</f>
        <v>42981</v>
      </c>
      <c r="C5" s="5">
        <f>IF(AND(YEAR(SepSun1+8)=CalendarYear,MONTH(SepSun1+8)=9),SepSun1+8, "")</f>
        <v>42982</v>
      </c>
      <c r="D5" s="5">
        <f>IF(AND(YEAR(SepSun1+9)=CalendarYear,MONTH(SepSun1+9)=9),SepSun1+9, "")</f>
        <v>42983</v>
      </c>
      <c r="E5" s="5">
        <f>IF(AND(YEAR(SepSun1+10)=CalendarYear,MONTH(SepSun1+10)=9),SepSun1+10, "")</f>
        <v>42984</v>
      </c>
      <c r="F5" s="5">
        <f>IF(AND(YEAR(SepSun1+11)=CalendarYear,MONTH(SepSun1+11)=9),SepSun1+11, "")</f>
        <v>42985</v>
      </c>
      <c r="G5" s="5">
        <f>IF(AND(YEAR(SepSun1+12)=CalendarYear,MONTH(SepSun1+12)=9),SepSun1+12,"")</f>
        <v>42986</v>
      </c>
      <c r="H5" s="10">
        <f>IF(AND(YEAR(SepSun1+13)=CalendarYear,MONTH(SepSun1+13)=9),SepSun1+13, "")</f>
        <v>42987</v>
      </c>
    </row>
    <row r="6" spans="1:8" ht="72" customHeight="1">
      <c r="B6" s="28"/>
      <c r="C6" s="24"/>
      <c r="D6" s="25"/>
      <c r="E6" s="25"/>
      <c r="F6" s="25"/>
      <c r="G6" s="25"/>
      <c r="H6" s="29"/>
    </row>
    <row r="7" spans="1:8" ht="14" customHeight="1">
      <c r="B7" s="11">
        <f>IF(AND(YEAR(SepSun1+14)=CalendarYear,MONTH(SepSun1+14)=9),SepSun1+14, "")</f>
        <v>42988</v>
      </c>
      <c r="C7" s="5">
        <f>IF(AND(YEAR(SepSun1+15)=CalendarYear,MONTH(SepSun1+15)=9),SepSun1+15, "")</f>
        <v>42989</v>
      </c>
      <c r="D7" s="5">
        <f>IF(AND(YEAR(SepSun1+16)=CalendarYear,MONTH(SepSun1+16)=9),SepSun1+16, "")</f>
        <v>42990</v>
      </c>
      <c r="E7" s="5">
        <f>IF(AND(YEAR(SepSun1+17)=CalendarYear,MONTH(SepSun1+17)=9),SepSun1+17, "")</f>
        <v>42991</v>
      </c>
      <c r="F7" s="5">
        <f>IF(AND(YEAR(SepSun1+18)=CalendarYear,MONTH(SepSun1+18)=9),SepSun1+18, "")</f>
        <v>42992</v>
      </c>
      <c r="G7" s="5">
        <f>IF(AND(YEAR(SepSun1+19)=CalendarYear,MONTH(SepSun1+19)=9),SepSun1+19, "")</f>
        <v>42993</v>
      </c>
      <c r="H7" s="10">
        <f>IF(AND(YEAR(SepSun1+20)=CalendarYear,MONTH(SepSun1+20)=9),SepSun1+20, "")</f>
        <v>42994</v>
      </c>
    </row>
    <row r="8" spans="1:8" ht="72" customHeight="1">
      <c r="B8" s="28"/>
      <c r="C8" s="24"/>
      <c r="D8" s="25"/>
      <c r="E8" s="25"/>
      <c r="F8" s="25"/>
      <c r="G8" s="25"/>
      <c r="H8" s="29"/>
    </row>
    <row r="9" spans="1:8" ht="14" customHeight="1">
      <c r="B9" s="12">
        <f>IF(AND(YEAR(SepSun1+21)=CalendarYear,MONTH(SepSun1+21)=9),SepSun1+21, "")</f>
        <v>42995</v>
      </c>
      <c r="C9" s="6">
        <f>IF(AND(YEAR(SepSun1+22)=CalendarYear,MONTH(SepSun1+22)=9),SepSun1+22, "")</f>
        <v>42996</v>
      </c>
      <c r="D9" s="6">
        <f>IF(AND(YEAR(SepSun1+23)=CalendarYear,MONTH(SepSun1+23)=9),SepSun1+23, "")</f>
        <v>42997</v>
      </c>
      <c r="E9" s="6">
        <f>IF(AND(YEAR(SepSun1+24)=CalendarYear,MONTH(SepSun1+24)=9),SepSun1+24, "")</f>
        <v>42998</v>
      </c>
      <c r="F9" s="6">
        <f>IF(AND(YEAR(SepSun1+25)=CalendarYear,MONTH(SepSun1+25)=9),SepSun1+25, "")</f>
        <v>42999</v>
      </c>
      <c r="G9" s="6">
        <f>IF(AND(YEAR(SepSun1+26)=CalendarYear,MONTH(SepSun1+26)=9),SepSun1+26, "")</f>
        <v>43000</v>
      </c>
      <c r="H9" s="13">
        <f>IF(AND(YEAR(SepSun1+27)=CalendarYear,MONTH(SepSun1+27)=9),SepSun1+27, "")</f>
        <v>43001</v>
      </c>
    </row>
    <row r="10" spans="1:8" ht="72" customHeight="1">
      <c r="B10" s="28"/>
      <c r="C10" s="24"/>
      <c r="D10" s="25"/>
      <c r="E10" s="25"/>
      <c r="F10" s="25"/>
      <c r="G10" s="25"/>
      <c r="H10" s="29"/>
    </row>
    <row r="11" spans="1:8" ht="14" customHeight="1">
      <c r="B11" s="12">
        <f>IF(AND(YEAR(SepSun1+28)=CalendarYear,MONTH(SepSun1+28)=9),SepSun1+28, "")</f>
        <v>43002</v>
      </c>
      <c r="C11" s="6">
        <f>IF(AND(YEAR(SepSun1+29)=CalendarYear,MONTH(SepSun1+29)=9),SepSun1+29, "")</f>
        <v>43003</v>
      </c>
      <c r="D11" s="6">
        <f>IF(AND(YEAR(SepSun1+30)=CalendarYear,MONTH(SepSun1+30)=9),SepSun1+30, "")</f>
        <v>43004</v>
      </c>
      <c r="E11" s="6">
        <f>IF(AND(YEAR(SepSun1+31)=CalendarYear,MONTH(SepSun1+31)=9),SepSun1+31, "")</f>
        <v>43005</v>
      </c>
      <c r="F11" s="6">
        <f>IF(AND(YEAR(SepSun1+32)=CalendarYear,MONTH(SepSun1+32)=9),SepSun1+32, "")</f>
        <v>43006</v>
      </c>
      <c r="G11" s="6">
        <f>IF(AND(YEAR(SepSun1+33)=CalendarYear,MONTH(SepSun1+33)=9),SepSun1+33, "")</f>
        <v>43007</v>
      </c>
      <c r="H11" s="13">
        <f>IF(AND(YEAR(SepSun1+34)=CalendarYear,MONTH(SepSun1+34)=9),SepSun1+34, "")</f>
        <v>43008</v>
      </c>
    </row>
    <row r="12" spans="1:8" ht="72" customHeight="1">
      <c r="B12" s="28"/>
      <c r="C12" s="24"/>
      <c r="D12" s="25"/>
      <c r="E12" s="25"/>
      <c r="F12" s="24"/>
      <c r="G12" s="24"/>
      <c r="H12" s="29"/>
    </row>
    <row r="13" spans="1:8" ht="14" customHeight="1">
      <c r="B13" s="27" t="str">
        <f>IF(AND(YEAR(SepSun1+35)=CalendarYear,MONTH(SepSun1+35)=9),SepSun1+35, "")</f>
        <v/>
      </c>
      <c r="C13" s="39" t="s">
        <v>8</v>
      </c>
      <c r="D13" s="39"/>
      <c r="E13" s="39"/>
      <c r="F13" s="39"/>
      <c r="G13" s="39"/>
      <c r="H13" s="40"/>
    </row>
    <row r="14" spans="1:8" ht="72" customHeight="1" thickBot="1">
      <c r="B14" s="30"/>
      <c r="C14" s="36"/>
      <c r="D14" s="37"/>
      <c r="E14" s="37"/>
      <c r="F14" s="37"/>
      <c r="G14" s="37"/>
      <c r="H14" s="38"/>
    </row>
  </sheetData>
  <mergeCells count="3">
    <mergeCell ref="B1:H1"/>
    <mergeCell ref="C13:H13"/>
    <mergeCell ref="C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DATE(CalendarYear,10,1)</f>
        <v>43009</v>
      </c>
      <c r="C1" s="35"/>
      <c r="D1" s="35"/>
      <c r="E1" s="35"/>
      <c r="F1" s="35"/>
      <c r="G1" s="35"/>
      <c r="H1" s="35"/>
    </row>
    <row r="2" spans="1:8" s="3" customFormat="1" ht="14" customHeight="1">
      <c r="A2" s="2"/>
      <c r="B2" s="17" t="s">
        <v>0</v>
      </c>
      <c r="C2" s="18" t="s">
        <v>1</v>
      </c>
      <c r="D2" s="18" t="s">
        <v>2</v>
      </c>
      <c r="E2" s="18" t="s">
        <v>3</v>
      </c>
      <c r="F2" s="18" t="s">
        <v>4</v>
      </c>
      <c r="G2" s="18" t="s">
        <v>5</v>
      </c>
      <c r="H2" s="19" t="s">
        <v>6</v>
      </c>
    </row>
    <row r="3" spans="1:8" ht="14" customHeight="1">
      <c r="B3" s="9">
        <f>IF(AND(YEAR(OctSun1)=CalendarYear,MONTH(OctSun1)=10),OctSun1, "")</f>
        <v>43009</v>
      </c>
      <c r="C3" s="5">
        <f>IF(AND(YEAR(OctSun1+1)=CalendarYear,MONTH(OctSun1+1)=10),OctSun1+1, "")</f>
        <v>43010</v>
      </c>
      <c r="D3" s="5">
        <f>IF(AND(YEAR(OctSun1+2)=CalendarYear,MONTH(OctSun1+2)=10),OctSun1+2, "")</f>
        <v>43011</v>
      </c>
      <c r="E3" s="5">
        <f>IF(AND(YEAR(OctSun1+3)=CalendarYear,MONTH(OctSun1+3)=10),OctSun1+3, "")</f>
        <v>43012</v>
      </c>
      <c r="F3" s="5">
        <f>IF(AND(YEAR(OctSun1+4)=CalendarYear,MONTH(OctSun1+4)=10),OctSun1+4, "")</f>
        <v>43013</v>
      </c>
      <c r="G3" s="5">
        <f>IF(AND(YEAR(OctSun1+5)=CalendarYear,MONTH(OctSun1+5)=10),OctSun1+5, "")</f>
        <v>43014</v>
      </c>
      <c r="H3" s="10">
        <f>IF(AND(YEAR(OctSun1+6)=CalendarYear,MONTH(OctSun1+6)=10),OctSun1+6, "")</f>
        <v>43015</v>
      </c>
    </row>
    <row r="4" spans="1:8" ht="72" customHeight="1">
      <c r="B4" s="28"/>
      <c r="C4" s="24"/>
      <c r="D4" s="25"/>
      <c r="E4" s="25"/>
      <c r="F4" s="25"/>
      <c r="G4" s="25"/>
      <c r="H4" s="29"/>
    </row>
    <row r="5" spans="1:8" ht="14" customHeight="1">
      <c r="B5" s="11">
        <f>IF(AND(YEAR(OctSun1+7)=CalendarYear,MONTH(OctSun1+7)=10),OctSun1+7, "")</f>
        <v>43016</v>
      </c>
      <c r="C5" s="5">
        <f>IF(AND(YEAR(OctSun1+8)=CalendarYear,MONTH(OctSun1+8)=10),OctSun1+8, "")</f>
        <v>43017</v>
      </c>
      <c r="D5" s="5">
        <f>IF(AND(YEAR(OctSun1+9)=CalendarYear,MONTH(OctSun1+9)=10),OctSun1+9, "")</f>
        <v>43018</v>
      </c>
      <c r="E5" s="5">
        <f>IF(AND(YEAR(OctSun1+10)=CalendarYear,MONTH(OctSun1+10)=10),OctSun1+10, "")</f>
        <v>43019</v>
      </c>
      <c r="F5" s="5">
        <f>IF(AND(YEAR(OctSun1+11)=CalendarYear,MONTH(OctSun1+11)=10),OctSun1+11, "")</f>
        <v>43020</v>
      </c>
      <c r="G5" s="5">
        <f>IF(AND(YEAR(OctSun1+12)=CalendarYear,MONTH(OctSun1+12)=10),OctSun1+12,"")</f>
        <v>43021</v>
      </c>
      <c r="H5" s="10">
        <f>IF(AND(YEAR(OctSun1+13)=CalendarYear,MONTH(OctSun1+13)=10),OctSun1+13, "")</f>
        <v>43022</v>
      </c>
    </row>
    <row r="6" spans="1:8" ht="72" customHeight="1">
      <c r="B6" s="28"/>
      <c r="C6" s="24"/>
      <c r="D6" s="25"/>
      <c r="E6" s="25"/>
      <c r="F6" s="25"/>
      <c r="G6" s="25"/>
      <c r="H6" s="29"/>
    </row>
    <row r="7" spans="1:8" ht="14" customHeight="1">
      <c r="B7" s="11">
        <f>IF(AND(YEAR(OctSun1+14)=CalendarYear,MONTH(OctSun1+14)=10),OctSun1+14, "")</f>
        <v>43023</v>
      </c>
      <c r="C7" s="5">
        <f>IF(AND(YEAR(OctSun1+15)=CalendarYear,MONTH(OctSun1+15)=10),OctSun1+15, "")</f>
        <v>43024</v>
      </c>
      <c r="D7" s="5">
        <f>IF(AND(YEAR(OctSun1+16)=CalendarYear,MONTH(OctSun1+16)=10),OctSun1+16, "")</f>
        <v>43025</v>
      </c>
      <c r="E7" s="5">
        <f>IF(AND(YEAR(OctSun1+17)=CalendarYear,MONTH(OctSun1+17)=10),OctSun1+17, "")</f>
        <v>43026</v>
      </c>
      <c r="F7" s="5">
        <f>IF(AND(YEAR(OctSun1+18)=CalendarYear,MONTH(OctSun1+18)=10),OctSun1+18, "")</f>
        <v>43027</v>
      </c>
      <c r="G7" s="5">
        <f>IF(AND(YEAR(OctSun1+19)=CalendarYear,MONTH(OctSun1+19)=10),OctSun1+19, "")</f>
        <v>43028</v>
      </c>
      <c r="H7" s="10">
        <f>IF(AND(YEAR(OctSun1+20)=CalendarYear,MONTH(OctSun1+20)=10),OctSun1+20, "")</f>
        <v>43029</v>
      </c>
    </row>
    <row r="8" spans="1:8" ht="72" customHeight="1">
      <c r="B8" s="28"/>
      <c r="C8" s="24"/>
      <c r="D8" s="25"/>
      <c r="E8" s="25"/>
      <c r="F8" s="25"/>
      <c r="G8" s="25"/>
      <c r="H8" s="29"/>
    </row>
    <row r="9" spans="1:8" ht="14" customHeight="1">
      <c r="B9" s="12">
        <f>IF(AND(YEAR(OctSun1+21)=CalendarYear,MONTH(OctSun1+21)=10),OctSun1+21, "")</f>
        <v>43030</v>
      </c>
      <c r="C9" s="6">
        <f>IF(AND(YEAR(OctSun1+22)=CalendarYear,MONTH(OctSun1+22)=10),OctSun1+22, "")</f>
        <v>43031</v>
      </c>
      <c r="D9" s="6">
        <f>IF(AND(YEAR(OctSun1+23)=CalendarYear,MONTH(OctSun1+23)=10),OctSun1+23, "")</f>
        <v>43032</v>
      </c>
      <c r="E9" s="6">
        <f>IF(AND(YEAR(OctSun1+24)=CalendarYear,MONTH(OctSun1+24)=10),OctSun1+24, "")</f>
        <v>43033</v>
      </c>
      <c r="F9" s="6">
        <f>IF(AND(YEAR(OctSun1+25)=CalendarYear,MONTH(OctSun1+25)=10),OctSun1+25, "")</f>
        <v>43034</v>
      </c>
      <c r="G9" s="6">
        <f>IF(AND(YEAR(OctSun1+26)=CalendarYear,MONTH(OctSun1+26)=10),OctSun1+26, "")</f>
        <v>43035</v>
      </c>
      <c r="H9" s="13">
        <f>IF(AND(YEAR(OctSun1+27)=CalendarYear,MONTH(OctSun1+27)=10),OctSun1+27, "")</f>
        <v>43036</v>
      </c>
    </row>
    <row r="10" spans="1:8" ht="72" customHeight="1">
      <c r="B10" s="28"/>
      <c r="C10" s="24"/>
      <c r="D10" s="25"/>
      <c r="E10" s="25"/>
      <c r="F10" s="25"/>
      <c r="G10" s="25"/>
      <c r="H10" s="29"/>
    </row>
    <row r="11" spans="1:8" ht="14" customHeight="1">
      <c r="B11" s="12">
        <f>IF(AND(YEAR(OctSun1+28)=CalendarYear,MONTH(OctSun1+28)=10),OctSun1+28, "")</f>
        <v>43037</v>
      </c>
      <c r="C11" s="6">
        <f>IF(AND(YEAR(OctSun1+29)=CalendarYear,MONTH(OctSun1+29)=10),OctSun1+29, "")</f>
        <v>43038</v>
      </c>
      <c r="D11" s="6">
        <f>IF(AND(YEAR(OctSun1+30)=CalendarYear,MONTH(OctSun1+30)=10),OctSun1+30, "")</f>
        <v>43039</v>
      </c>
      <c r="E11" s="6" t="str">
        <f>IF(AND(YEAR(OctSun1+31)=CalendarYear,MONTH(OctSun1+31)=10),OctSun1+31, "")</f>
        <v/>
      </c>
      <c r="F11" s="6" t="str">
        <f>IF(AND(YEAR(OctSun1+32)=CalendarYear,MONTH(OctSun1+32)=10),OctSun1+32, "")</f>
        <v/>
      </c>
      <c r="G11" s="6" t="str">
        <f>IF(AND(YEAR(OctSun1+33)=CalendarYear,MONTH(OctSun1+33)=10),OctSun1+33, "")</f>
        <v/>
      </c>
      <c r="H11" s="13" t="str">
        <f>IF(AND(YEAR(OctSun1+34)=CalendarYear,MONTH(OctSun1+34)=10),OctSun1+34, "")</f>
        <v/>
      </c>
    </row>
    <row r="12" spans="1:8" ht="72" customHeight="1">
      <c r="B12" s="28"/>
      <c r="C12" s="24"/>
      <c r="D12" s="25"/>
      <c r="E12" s="25"/>
      <c r="F12" s="24"/>
      <c r="G12" s="24"/>
      <c r="H12" s="29"/>
    </row>
    <row r="13" spans="1:8" ht="14" customHeight="1">
      <c r="B13" s="27" t="str">
        <f>IF(AND(YEAR(OctSun1+35)=CalendarYear,MONTH(OctSun1+35)=10),OctSun1+35, "")</f>
        <v/>
      </c>
      <c r="C13" s="23" t="str">
        <f>IF(AND(YEAR(OctSun1+36)=CalendarYear,MONTH(OctSun1+36)=10),OctSun1+36, "")</f>
        <v/>
      </c>
      <c r="D13" s="39" t="s">
        <v>8</v>
      </c>
      <c r="E13" s="39"/>
      <c r="F13" s="39"/>
      <c r="G13" s="39"/>
      <c r="H13" s="40"/>
    </row>
    <row r="14" spans="1:8" ht="72" customHeight="1" thickBot="1">
      <c r="B14" s="30"/>
      <c r="C14" s="26"/>
      <c r="D14" s="36"/>
      <c r="E14" s="37"/>
      <c r="F14" s="37"/>
      <c r="G14" s="37"/>
      <c r="H14" s="38"/>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A13" activeCellId="6" sqref="A2:XFD2 A3:XFD3 A5:XFD5 A7:XFD7 A9:XFD9 A11:XFD11 A13:XFD13"/>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DATE(CalendarYear,11,1)</f>
        <v>43040</v>
      </c>
      <c r="C1" s="35"/>
      <c r="D1" s="35"/>
      <c r="E1" s="35"/>
      <c r="F1" s="35"/>
      <c r="G1" s="35"/>
      <c r="H1" s="35"/>
    </row>
    <row r="2" spans="1:8" s="3" customFormat="1" ht="14" customHeight="1">
      <c r="A2" s="2"/>
      <c r="B2" s="17" t="s">
        <v>0</v>
      </c>
      <c r="C2" s="18" t="s">
        <v>1</v>
      </c>
      <c r="D2" s="18" t="s">
        <v>2</v>
      </c>
      <c r="E2" s="18" t="s">
        <v>3</v>
      </c>
      <c r="F2" s="18" t="s">
        <v>4</v>
      </c>
      <c r="G2" s="18" t="s">
        <v>5</v>
      </c>
      <c r="H2" s="19" t="s">
        <v>6</v>
      </c>
    </row>
    <row r="3" spans="1:8" ht="14" customHeight="1">
      <c r="B3" s="9" t="str">
        <f>IF(AND(YEAR(NovSun1)=CalendarYear,MONTH(NovSun1)=11),NovSun1, "")</f>
        <v/>
      </c>
      <c r="C3" s="5" t="str">
        <f>IF(AND(YEAR(NovSun1+1)=CalendarYear,MONTH(NovSun1+1)=11),NovSun1+1, "")</f>
        <v/>
      </c>
      <c r="D3" s="5" t="str">
        <f>IF(AND(YEAR(NovSun1+2)=CalendarYear,MONTH(NovSun1+2)=11),NovSun1+2, "")</f>
        <v/>
      </c>
      <c r="E3" s="5">
        <f>IF(AND(YEAR(NovSun1+3)=CalendarYear,MONTH(NovSun1+3)=11),NovSun1+3, "")</f>
        <v>43040</v>
      </c>
      <c r="F3" s="5">
        <f>IF(AND(YEAR(NovSun1+4)=CalendarYear,MONTH(NovSun1+4)=11),NovSun1+4, "")</f>
        <v>43041</v>
      </c>
      <c r="G3" s="5">
        <f>IF(AND(YEAR(NovSun1+5)=CalendarYear,MONTH(NovSun1+5)=11),NovSun1+5, "")</f>
        <v>43042</v>
      </c>
      <c r="H3" s="10">
        <f>IF(AND(YEAR(NovSun1+6)=CalendarYear,MONTH(NovSun1+6)=11),NovSun1+6, "")</f>
        <v>43043</v>
      </c>
    </row>
    <row r="4" spans="1:8" ht="72" customHeight="1">
      <c r="B4" s="28"/>
      <c r="C4" s="24"/>
      <c r="D4" s="25"/>
      <c r="E4" s="25"/>
      <c r="F4" s="25"/>
      <c r="G4" s="25"/>
      <c r="H4" s="29"/>
    </row>
    <row r="5" spans="1:8" ht="14" customHeight="1">
      <c r="B5" s="11">
        <f>IF(AND(YEAR(NovSun1+7)=CalendarYear,MONTH(NovSun1+7)=11),NovSun1+7, "")</f>
        <v>43044</v>
      </c>
      <c r="C5" s="5">
        <f>IF(AND(YEAR(NovSun1+8)=CalendarYear,MONTH(NovSun1+8)=11),NovSun1+8, "")</f>
        <v>43045</v>
      </c>
      <c r="D5" s="5">
        <f>IF(AND(YEAR(NovSun1+9)=CalendarYear,MONTH(NovSun1+9)=11),NovSun1+9, "")</f>
        <v>43046</v>
      </c>
      <c r="E5" s="5">
        <f>IF(AND(YEAR(NovSun1+10)=CalendarYear,MONTH(NovSun1+10)=11),NovSun1+10, "")</f>
        <v>43047</v>
      </c>
      <c r="F5" s="5">
        <f>IF(AND(YEAR(NovSun1+11)=CalendarYear,MONTH(NovSun1+11)=11),NovSun1+11, "")</f>
        <v>43048</v>
      </c>
      <c r="G5" s="5">
        <f>IF(AND(YEAR(NovSun1+12)=CalendarYear,MONTH(NovSun1+12)=11),NovSun1+12,"")</f>
        <v>43049</v>
      </c>
      <c r="H5" s="10">
        <f>IF(AND(YEAR(NovSun1+13)=CalendarYear,MONTH(NovSun1+13)=11),NovSun1+13, "")</f>
        <v>43050</v>
      </c>
    </row>
    <row r="6" spans="1:8" ht="72" customHeight="1">
      <c r="B6" s="28"/>
      <c r="C6" s="24"/>
      <c r="D6" s="25"/>
      <c r="E6" s="25"/>
      <c r="F6" s="25"/>
      <c r="G6" s="25"/>
      <c r="H6" s="29"/>
    </row>
    <row r="7" spans="1:8" ht="14" customHeight="1">
      <c r="B7" s="11">
        <f>IF(AND(YEAR(NovSun1+14)=CalendarYear,MONTH(NovSun1+14)=11),NovSun1+14, "")</f>
        <v>43051</v>
      </c>
      <c r="C7" s="5">
        <f>IF(AND(YEAR(NovSun1+15)=CalendarYear,MONTH(NovSun1+15)=11),NovSun1+15, "")</f>
        <v>43052</v>
      </c>
      <c r="D7" s="5">
        <f>IF(AND(YEAR(NovSun1+16)=CalendarYear,MONTH(NovSun1+16)=11),NovSun1+16, "")</f>
        <v>43053</v>
      </c>
      <c r="E7" s="5">
        <f>IF(AND(YEAR(NovSun1+17)=CalendarYear,MONTH(NovSun1+17)=11),NovSun1+17, "")</f>
        <v>43054</v>
      </c>
      <c r="F7" s="5">
        <f>IF(AND(YEAR(NovSun1+18)=CalendarYear,MONTH(NovSun1+18)=11),NovSun1+18, "")</f>
        <v>43055</v>
      </c>
      <c r="G7" s="5">
        <f>IF(AND(YEAR(NovSun1+19)=CalendarYear,MONTH(NovSun1+19)=11),NovSun1+19, "")</f>
        <v>43056</v>
      </c>
      <c r="H7" s="10">
        <f>IF(AND(YEAR(NovSun1+20)=CalendarYear,MONTH(NovSun1+20)=11),NovSun1+20, "")</f>
        <v>43057</v>
      </c>
    </row>
    <row r="8" spans="1:8" ht="72" customHeight="1">
      <c r="B8" s="28"/>
      <c r="C8" s="24"/>
      <c r="D8" s="25"/>
      <c r="E8" s="25"/>
      <c r="F8" s="25"/>
      <c r="G8" s="25"/>
      <c r="H8" s="29"/>
    </row>
    <row r="9" spans="1:8" ht="14" customHeight="1">
      <c r="B9" s="12">
        <f>IF(AND(YEAR(NovSun1+21)=CalendarYear,MONTH(NovSun1+21)=11),NovSun1+21, "")</f>
        <v>43058</v>
      </c>
      <c r="C9" s="6">
        <f>IF(AND(YEAR(NovSun1+22)=CalendarYear,MONTH(NovSun1+22)=11),NovSun1+22, "")</f>
        <v>43059</v>
      </c>
      <c r="D9" s="6">
        <f>IF(AND(YEAR(NovSun1+23)=CalendarYear,MONTH(NovSun1+23)=11),NovSun1+23, "")</f>
        <v>43060</v>
      </c>
      <c r="E9" s="6">
        <f>IF(AND(YEAR(NovSun1+24)=CalendarYear,MONTH(NovSun1+24)=11),NovSun1+24, "")</f>
        <v>43061</v>
      </c>
      <c r="F9" s="6">
        <f>IF(AND(YEAR(NovSun1+25)=CalendarYear,MONTH(NovSun1+25)=11),NovSun1+25, "")</f>
        <v>43062</v>
      </c>
      <c r="G9" s="6">
        <f>IF(AND(YEAR(NovSun1+26)=CalendarYear,MONTH(NovSun1+26)=11),NovSun1+26, "")</f>
        <v>43063</v>
      </c>
      <c r="H9" s="13">
        <f>IF(AND(YEAR(NovSun1+27)=CalendarYear,MONTH(NovSun1+27)=11),NovSun1+27, "")</f>
        <v>43064</v>
      </c>
    </row>
    <row r="10" spans="1:8" ht="72" customHeight="1">
      <c r="B10" s="28"/>
      <c r="C10" s="24"/>
      <c r="D10" s="25"/>
      <c r="E10" s="25"/>
      <c r="F10" s="25"/>
      <c r="G10" s="25"/>
      <c r="H10" s="29"/>
    </row>
    <row r="11" spans="1:8" ht="14" customHeight="1">
      <c r="B11" s="12">
        <f>IF(AND(YEAR(NovSun1+28)=CalendarYear,MONTH(NovSun1+28)=11),NovSun1+28, "")</f>
        <v>43065</v>
      </c>
      <c r="C11" s="6">
        <f>IF(AND(YEAR(NovSun1+29)=CalendarYear,MONTH(NovSun1+29)=11),NovSun1+29, "")</f>
        <v>43066</v>
      </c>
      <c r="D11" s="6">
        <f>IF(AND(YEAR(NovSun1+30)=CalendarYear,MONTH(NovSun1+30)=11),NovSun1+30, "")</f>
        <v>43067</v>
      </c>
      <c r="E11" s="6">
        <f>IF(AND(YEAR(NovSun1+31)=CalendarYear,MONTH(NovSun1+31)=11),NovSun1+31, "")</f>
        <v>43068</v>
      </c>
      <c r="F11" s="6">
        <f>IF(AND(YEAR(NovSun1+32)=CalendarYear,MONTH(NovSun1+32)=11),NovSun1+32, "")</f>
        <v>43069</v>
      </c>
      <c r="G11" s="6" t="str">
        <f>IF(AND(YEAR(NovSun1+33)=CalendarYear,MONTH(NovSun1+33)=11),NovSun1+33, "")</f>
        <v/>
      </c>
      <c r="H11" s="13" t="str">
        <f>IF(AND(YEAR(NovSun1+34)=CalendarYear,MONTH(NovSun1+34)=11),NovSun1+34, "")</f>
        <v/>
      </c>
    </row>
    <row r="12" spans="1:8" ht="72" customHeight="1">
      <c r="B12" s="28"/>
      <c r="C12" s="24"/>
      <c r="D12" s="25"/>
      <c r="E12" s="25"/>
      <c r="F12" s="24"/>
      <c r="G12" s="24"/>
      <c r="H12" s="29"/>
    </row>
    <row r="13" spans="1:8" ht="14" customHeight="1">
      <c r="B13" s="27" t="str">
        <f>IF(AND(YEAR(NovSun1+35)=CalendarYear,MONTH(NovSun1+35)=11),NovSun1+35, "")</f>
        <v/>
      </c>
      <c r="C13" s="48" t="s">
        <v>8</v>
      </c>
      <c r="D13" s="48"/>
      <c r="E13" s="48"/>
      <c r="F13" s="48"/>
      <c r="G13" s="48"/>
      <c r="H13" s="49"/>
    </row>
    <row r="14" spans="1:8" ht="72" customHeight="1" thickBot="1">
      <c r="B14" s="30"/>
      <c r="C14" s="36"/>
      <c r="D14" s="37"/>
      <c r="E14" s="37"/>
      <c r="F14" s="37"/>
      <c r="G14" s="37"/>
      <c r="H14" s="38"/>
    </row>
  </sheetData>
  <mergeCells count="3">
    <mergeCell ref="B1:H1"/>
    <mergeCell ref="C13:H13"/>
    <mergeCell ref="C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H4" sqref="H4"/>
    </sheetView>
  </sheetViews>
  <sheetFormatPr baseColWidth="10" defaultColWidth="8.7109375" defaultRowHeight="72" customHeight="1" x14ac:dyDescent="0"/>
  <cols>
    <col min="1" max="1" width="2.42578125" style="1" customWidth="1"/>
    <col min="2" max="2" width="30.85546875" style="4" customWidth="1"/>
    <col min="3" max="8" width="17.5703125" style="4" customWidth="1"/>
    <col min="9" max="16384" width="8.7109375" style="4"/>
  </cols>
  <sheetData>
    <row r="1" spans="1:8" s="1" customFormat="1" ht="72" customHeight="1" thickBot="1">
      <c r="B1" s="35">
        <f>DATE(CalendarYear,12,1)</f>
        <v>43070</v>
      </c>
      <c r="C1" s="35"/>
      <c r="D1" s="35"/>
      <c r="E1" s="35"/>
      <c r="F1" s="35"/>
      <c r="G1" s="35"/>
      <c r="H1" s="35"/>
    </row>
    <row r="2" spans="1:8" s="3" customFormat="1" ht="14" customHeight="1">
      <c r="A2" s="2"/>
      <c r="B2" s="17" t="s">
        <v>0</v>
      </c>
      <c r="C2" s="18" t="s">
        <v>1</v>
      </c>
      <c r="D2" s="18" t="s">
        <v>2</v>
      </c>
      <c r="E2" s="18" t="s">
        <v>3</v>
      </c>
      <c r="F2" s="18" t="s">
        <v>4</v>
      </c>
      <c r="G2" s="18" t="s">
        <v>5</v>
      </c>
      <c r="H2" s="19" t="s">
        <v>6</v>
      </c>
    </row>
    <row r="3" spans="1:8" ht="14" customHeight="1">
      <c r="B3" s="9" t="str">
        <f>IF(AND(YEAR(DecSun1)=CalendarYear,MONTH(DecSun1)=12),DecSun1, "")</f>
        <v/>
      </c>
      <c r="C3" s="5" t="str">
        <f>IF(AND(YEAR(DecSun1+1)=CalendarYear,MONTH(DecSun1+1)=12),DecSun1+1, "")</f>
        <v/>
      </c>
      <c r="D3" s="5" t="str">
        <f>IF(AND(YEAR(DecSun1+2)=CalendarYear,MONTH(DecSun1+2)=12),DecSun1+2, "")</f>
        <v/>
      </c>
      <c r="E3" s="5" t="str">
        <f>IF(AND(YEAR(DecSun1+3)=CalendarYear,MONTH(DecSun1+3)=12),DecSun1+3, "")</f>
        <v/>
      </c>
      <c r="F3" s="5" t="str">
        <f>IF(AND(YEAR(DecSun1+4)=CalendarYear,MONTH(DecSun1+4)=12),DecSun1+4, "")</f>
        <v/>
      </c>
      <c r="G3" s="5">
        <f>IF(AND(YEAR(DecSun1+5)=CalendarYear,MONTH(DecSun1+5)=12),DecSun1+5, "")</f>
        <v>43070</v>
      </c>
      <c r="H3" s="10">
        <f>IF(AND(YEAR(DecSun1+6)=CalendarYear,MONTH(DecSun1+6)=12),DecSun1+6, "")</f>
        <v>43071</v>
      </c>
    </row>
    <row r="4" spans="1:8" ht="72" customHeight="1">
      <c r="B4" s="28"/>
      <c r="C4" s="24"/>
      <c r="D4" s="25"/>
      <c r="E4" s="25"/>
      <c r="F4" s="25"/>
      <c r="G4" s="25"/>
      <c r="H4" s="29"/>
    </row>
    <row r="5" spans="1:8" ht="14" customHeight="1">
      <c r="B5" s="11">
        <f>IF(AND(YEAR(DecSun1+7)=CalendarYear,MONTH(DecSun1+7)=12),DecSun1+7, "")</f>
        <v>43072</v>
      </c>
      <c r="C5" s="5">
        <f>IF(AND(YEAR(DecSun1+8)=CalendarYear,MONTH(DecSun1+8)=12),DecSun1+8, "")</f>
        <v>43073</v>
      </c>
      <c r="D5" s="5">
        <f>IF(AND(YEAR(DecSun1+9)=CalendarYear,MONTH(DecSun1+9)=12),DecSun1+9, "")</f>
        <v>43074</v>
      </c>
      <c r="E5" s="5">
        <f>IF(AND(YEAR(DecSun1+10)=CalendarYear,MONTH(DecSun1+10)=12),DecSun1+10, "")</f>
        <v>43075</v>
      </c>
      <c r="F5" s="5">
        <f>IF(AND(YEAR(DecSun1+11)=CalendarYear,MONTH(DecSun1+11)=12),DecSun1+11, "")</f>
        <v>43076</v>
      </c>
      <c r="G5" s="5">
        <f>IF(AND(YEAR(DecSun1+12)=CalendarYear,MONTH(DecSun1+12)=12),DecSun1+12,"")</f>
        <v>43077</v>
      </c>
      <c r="H5" s="10">
        <f>IF(AND(YEAR(DecSun1+13)=CalendarYear,MONTH(DecSun1+13)=12),DecSun1+13, "")</f>
        <v>43078</v>
      </c>
    </row>
    <row r="6" spans="1:8" ht="72" customHeight="1">
      <c r="B6" s="28"/>
      <c r="C6" s="24"/>
      <c r="D6" s="25"/>
      <c r="E6" s="25"/>
      <c r="F6" s="25"/>
      <c r="G6" s="25"/>
      <c r="H6" s="29"/>
    </row>
    <row r="7" spans="1:8" ht="14" customHeight="1">
      <c r="B7" s="11">
        <f>IF(AND(YEAR(DecSun1+14)=CalendarYear,MONTH(DecSun1+14)=12),DecSun1+14, "")</f>
        <v>43079</v>
      </c>
      <c r="C7" s="5">
        <f>IF(AND(YEAR(DecSun1+15)=CalendarYear,MONTH(DecSun1+15)=12),DecSun1+15, "")</f>
        <v>43080</v>
      </c>
      <c r="D7" s="5">
        <f>IF(AND(YEAR(DecSun1+16)=CalendarYear,MONTH(DecSun1+16)=12),DecSun1+16, "")</f>
        <v>43081</v>
      </c>
      <c r="E7" s="5">
        <f>IF(AND(YEAR(DecSun1+17)=CalendarYear,MONTH(DecSun1+17)=12),DecSun1+17, "")</f>
        <v>43082</v>
      </c>
      <c r="F7" s="5">
        <f>IF(AND(YEAR(DecSun1+18)=CalendarYear,MONTH(DecSun1+18)=12),DecSun1+18, "")</f>
        <v>43083</v>
      </c>
      <c r="G7" s="5">
        <f>IF(AND(YEAR(DecSun1+19)=CalendarYear,MONTH(DecSun1+19)=12),DecSun1+19, "")</f>
        <v>43084</v>
      </c>
      <c r="H7" s="10">
        <f>IF(AND(YEAR(DecSun1+20)=CalendarYear,MONTH(DecSun1+20)=12),DecSun1+20, "")</f>
        <v>43085</v>
      </c>
    </row>
    <row r="8" spans="1:8" ht="72" customHeight="1">
      <c r="B8" s="28"/>
      <c r="C8" s="24"/>
      <c r="D8" s="25"/>
      <c r="E8" s="25"/>
      <c r="F8" s="25"/>
      <c r="G8" s="25"/>
      <c r="H8" s="29"/>
    </row>
    <row r="9" spans="1:8" ht="14" customHeight="1">
      <c r="B9" s="12">
        <f>IF(AND(YEAR(DecSun1+21)=CalendarYear,MONTH(DecSun1+21)=12),DecSun1+21, "")</f>
        <v>43086</v>
      </c>
      <c r="C9" s="6">
        <f>IF(AND(YEAR(DecSun1+22)=CalendarYear,MONTH(DecSun1+22)=12),DecSun1+22, "")</f>
        <v>43087</v>
      </c>
      <c r="D9" s="6">
        <f>IF(AND(YEAR(DecSun1+23)=CalendarYear,MONTH(DecSun1+23)=12),DecSun1+23, "")</f>
        <v>43088</v>
      </c>
      <c r="E9" s="6">
        <f>IF(AND(YEAR(DecSun1+24)=CalendarYear,MONTH(DecSun1+24)=12),DecSun1+24, "")</f>
        <v>43089</v>
      </c>
      <c r="F9" s="6">
        <f>IF(AND(YEAR(DecSun1+25)=CalendarYear,MONTH(DecSun1+25)=12),DecSun1+25, "")</f>
        <v>43090</v>
      </c>
      <c r="G9" s="6">
        <f>IF(AND(YEAR(DecSun1+26)=CalendarYear,MONTH(DecSun1+26)=12),DecSun1+26, "")</f>
        <v>43091</v>
      </c>
      <c r="H9" s="13">
        <f>IF(AND(YEAR(DecSun1+27)=CalendarYear,MONTH(DecSun1+27)=12),DecSun1+27, "")</f>
        <v>43092</v>
      </c>
    </row>
    <row r="10" spans="1:8" ht="72" customHeight="1">
      <c r="B10" s="28"/>
      <c r="C10" s="24"/>
      <c r="D10" s="25"/>
      <c r="E10" s="25"/>
      <c r="F10" s="25"/>
      <c r="G10" s="25"/>
      <c r="H10" s="29"/>
    </row>
    <row r="11" spans="1:8" ht="14" customHeight="1">
      <c r="B11" s="12">
        <f>IF(AND(YEAR(DecSun1+28)=CalendarYear,MONTH(DecSun1+28)=12),DecSun1+28, "")</f>
        <v>43093</v>
      </c>
      <c r="C11" s="6">
        <f>IF(AND(YEAR(DecSun1+29)=CalendarYear,MONTH(DecSun1+29)=12),DecSun1+29, "")</f>
        <v>43094</v>
      </c>
      <c r="D11" s="6">
        <f>IF(AND(YEAR(DecSun1+30)=CalendarYear,MONTH(DecSun1+30)=12),DecSun1+30, "")</f>
        <v>43095</v>
      </c>
      <c r="E11" s="6">
        <f>IF(AND(YEAR(DecSun1+31)=CalendarYear,MONTH(DecSun1+31)=12),DecSun1+31, "")</f>
        <v>43096</v>
      </c>
      <c r="F11" s="6">
        <f>IF(AND(YEAR(DecSun1+32)=CalendarYear,MONTH(DecSun1+32)=12),DecSun1+32, "")</f>
        <v>43097</v>
      </c>
      <c r="G11" s="6">
        <f>IF(AND(YEAR(DecSun1+33)=CalendarYear,MONTH(DecSun1+33)=12),DecSun1+33, "")</f>
        <v>43098</v>
      </c>
      <c r="H11" s="13">
        <f>IF(AND(YEAR(DecSun1+34)=CalendarYear,MONTH(DecSun1+34)=12),DecSun1+34, "")</f>
        <v>43099</v>
      </c>
    </row>
    <row r="12" spans="1:8" ht="72" customHeight="1">
      <c r="B12" s="28"/>
      <c r="C12" s="24"/>
      <c r="D12" s="25"/>
      <c r="E12" s="25"/>
      <c r="F12" s="24"/>
      <c r="G12" s="24"/>
      <c r="H12" s="29"/>
    </row>
    <row r="13" spans="1:8" ht="14" customHeight="1">
      <c r="B13" s="27">
        <f>IF(AND(YEAR(DecSun1+35)=CalendarYear,MONTH(DecSun1+35)=12),DecSun1+35, "")</f>
        <v>43100</v>
      </c>
      <c r="C13" s="23" t="str">
        <f>IF(AND(YEAR(DecSun1+36)=CalendarYear,MONTH(DecSun1+36)=12),DecSun1+36, "")</f>
        <v/>
      </c>
      <c r="D13" s="39" t="s">
        <v>8</v>
      </c>
      <c r="E13" s="39"/>
      <c r="F13" s="39"/>
      <c r="G13" s="39"/>
      <c r="H13" s="40"/>
    </row>
    <row r="14" spans="1:8" ht="72" customHeight="1" thickBot="1">
      <c r="B14" s="30"/>
      <c r="C14" s="26"/>
      <c r="D14" s="36"/>
      <c r="E14" s="37"/>
      <c r="F14" s="37"/>
      <c r="G14" s="37"/>
      <c r="H14" s="38"/>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2"/>
  <sheetViews>
    <sheetView workbookViewId="0"/>
  </sheetViews>
  <sheetFormatPr baseColWidth="10" defaultColWidth="8.7109375" defaultRowHeight="13" x14ac:dyDescent="0"/>
  <cols>
    <col min="1" max="1" width="10.42578125" style="4" customWidth="1"/>
    <col min="2" max="2" width="9.5703125" style="4" customWidth="1"/>
    <col min="3" max="3" width="9.7109375" style="4" customWidth="1"/>
    <col min="4" max="16384" width="8.7109375" style="4"/>
  </cols>
  <sheetData>
    <row r="1" spans="1:3" ht="14">
      <c r="A1" s="20" t="s">
        <v>7</v>
      </c>
      <c r="B1" s="21"/>
    </row>
    <row r="2" spans="1:3" ht="14">
      <c r="A2" s="21">
        <v>2010</v>
      </c>
      <c r="B2" s="21"/>
    </row>
    <row r="3" spans="1:3" ht="14">
      <c r="A3" s="21">
        <v>2011</v>
      </c>
      <c r="B3" s="21"/>
    </row>
    <row r="4" spans="1:3" ht="14">
      <c r="A4" s="21">
        <v>2012</v>
      </c>
      <c r="B4" s="21"/>
    </row>
    <row r="5" spans="1:3" ht="14">
      <c r="A5" s="21">
        <v>2013</v>
      </c>
      <c r="B5" s="21"/>
    </row>
    <row r="6" spans="1:3" ht="14">
      <c r="A6" s="21">
        <v>2014</v>
      </c>
      <c r="B6" s="21"/>
    </row>
    <row r="7" spans="1:3" ht="14">
      <c r="A7" s="21">
        <v>2015</v>
      </c>
      <c r="B7" s="21"/>
    </row>
    <row r="8" spans="1:3" ht="14">
      <c r="A8" s="22">
        <v>2016</v>
      </c>
      <c r="B8" s="21"/>
    </row>
    <row r="9" spans="1:3" ht="14">
      <c r="A9" s="22">
        <v>2017</v>
      </c>
      <c r="B9" s="21"/>
    </row>
    <row r="10" spans="1:3" ht="14">
      <c r="A10" s="22"/>
      <c r="B10" s="21"/>
    </row>
    <row r="11" spans="1:3" ht="14">
      <c r="A11" s="21"/>
      <c r="B11" s="21"/>
    </row>
    <row r="12" spans="1:3" ht="14">
      <c r="A12" s="21"/>
      <c r="B12" s="21"/>
    </row>
  </sheetData>
  <phoneticPr fontId="1" type="noConversion"/>
  <pageMargins left="0.7" right="0.7" top="0.75" bottom="0.75" header="0.3" footer="0.3"/>
  <legacyDrawing r:id="rId1"/>
  <tableParts count="1">
    <tablePart r:id="rId2"/>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Jan</vt:lpstr>
      <vt:lpstr>Feb</vt:lpstr>
      <vt:lpstr>Mar</vt:lpstr>
      <vt:lpstr>Apr</vt:lpstr>
      <vt:lpstr>May</vt:lpstr>
      <vt:lpstr>Jun</vt:lpstr>
      <vt:lpstr>Jul</vt:lpstr>
      <vt:lpstr>Aug</vt:lpstr>
      <vt:lpstr>Sep</vt:lpstr>
      <vt:lpstr>Oct</vt:lpstr>
      <vt:lpstr>Nov</vt:lpstr>
      <vt:lpstr>Dec</vt:lpstr>
      <vt:lpstr>Lookup List</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Jaymie Shook</cp:lastModifiedBy>
  <cp:lastPrinted>2010-04-09T00:59:34Z</cp:lastPrinted>
  <dcterms:created xsi:type="dcterms:W3CDTF">2001-05-02T15:52:45Z</dcterms:created>
  <dcterms:modified xsi:type="dcterms:W3CDTF">2016-08-17T18:20:21Z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TC102851621033</vt:lpwstr>
  </property>
</Properties>
</file>